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v202\060300保険年\共有ファイル(新)\国民健康保険係（入口）\６．賦課\★★令和７年度以降税率改正★★\"/>
    </mc:Choice>
  </mc:AlternateContent>
  <bookViews>
    <workbookView xWindow="0" yWindow="0" windowWidth="20490" windowHeight="8790"/>
  </bookViews>
  <sheets>
    <sheet name="簡易試算シート" sheetId="1" r:id="rId1"/>
  </sheets>
  <definedNames>
    <definedName name="_xlnm.Print_Area" localSheetId="0">簡易試算シート!$A$1:$M$26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AR15" i="1"/>
  <c r="AI15" i="1" l="1"/>
  <c r="AG25" i="1" l="1"/>
  <c r="AL15" i="1"/>
  <c r="AS15" i="1"/>
  <c r="AO17" i="1" l="1"/>
  <c r="AM10" i="1"/>
  <c r="AM14" i="1"/>
  <c r="AM15" i="1"/>
  <c r="AM9" i="1"/>
  <c r="AL17" i="1"/>
  <c r="AI17" i="1"/>
  <c r="AJ9" i="1"/>
  <c r="AJ14" i="1"/>
  <c r="AJ15" i="1"/>
  <c r="AJ10" i="1"/>
  <c r="AA10" i="1"/>
  <c r="AA11" i="1"/>
  <c r="AA12" i="1"/>
  <c r="AA13" i="1"/>
  <c r="AA14" i="1"/>
  <c r="AA15" i="1"/>
  <c r="AA9" i="1"/>
  <c r="Z10" i="1"/>
  <c r="Z11" i="1"/>
  <c r="Z12" i="1"/>
  <c r="Z13" i="1"/>
  <c r="Z14" i="1"/>
  <c r="Z15" i="1"/>
  <c r="Z9" i="1"/>
  <c r="U15" i="1"/>
  <c r="R15" i="1"/>
  <c r="P9" i="1"/>
  <c r="P10" i="1"/>
  <c r="P11" i="1"/>
  <c r="R11" i="1" s="1"/>
  <c r="P12" i="1"/>
  <c r="R12" i="1" s="1"/>
  <c r="P13" i="1"/>
  <c r="R13" i="1" s="1"/>
  <c r="P14" i="1"/>
  <c r="P15" i="1"/>
  <c r="Q9" i="1"/>
  <c r="Q10" i="1"/>
  <c r="Q11" i="1"/>
  <c r="Q12" i="1"/>
  <c r="Q13" i="1"/>
  <c r="Q14" i="1"/>
  <c r="R14" i="1" s="1"/>
  <c r="Q15" i="1"/>
  <c r="R10" i="1" l="1"/>
  <c r="R9" i="1"/>
  <c r="AA16" i="1"/>
  <c r="AG23" i="1" s="1"/>
  <c r="D23" i="1" l="1"/>
  <c r="D21" i="1"/>
  <c r="AD15" i="1" l="1"/>
  <c r="AT15" i="1" s="1"/>
  <c r="AD14" i="1"/>
  <c r="AT14" i="1" s="1"/>
  <c r="AD13" i="1"/>
  <c r="AT13" i="1" s="1"/>
  <c r="AD12" i="1"/>
  <c r="AD11" i="1"/>
  <c r="AD10" i="1"/>
  <c r="AD9" i="1"/>
  <c r="AB18" i="1"/>
  <c r="AB17" i="1"/>
  <c r="AB15" i="1"/>
  <c r="AB14" i="1"/>
  <c r="AB13" i="1"/>
  <c r="AB12" i="1"/>
  <c r="AB11" i="1"/>
  <c r="AB10" i="1"/>
  <c r="AB9" i="1"/>
  <c r="AC9" i="1"/>
  <c r="AC10" i="1"/>
  <c r="AC11" i="1"/>
  <c r="AC12" i="1"/>
  <c r="AC13" i="1"/>
  <c r="AC14" i="1"/>
  <c r="AC15" i="1"/>
  <c r="X9" i="1"/>
  <c r="X10" i="1"/>
  <c r="T10" i="1" s="1"/>
  <c r="X11" i="1"/>
  <c r="X12" i="1"/>
  <c r="S12" i="1" s="1"/>
  <c r="X13" i="1"/>
  <c r="X14" i="1"/>
  <c r="X15" i="1"/>
  <c r="S15" i="1" s="1"/>
  <c r="AO12" i="1" l="1"/>
  <c r="AT12" i="1"/>
  <c r="AO11" i="1"/>
  <c r="AT11" i="1"/>
  <c r="AO13" i="1"/>
  <c r="AO14" i="1"/>
  <c r="AE15" i="1"/>
  <c r="AO15" i="1"/>
  <c r="T9" i="1"/>
  <c r="Z16" i="1"/>
  <c r="AC16" i="1"/>
  <c r="S13" i="1"/>
  <c r="S9" i="1"/>
  <c r="S11" i="1"/>
  <c r="S14" i="1"/>
  <c r="S10" i="1"/>
  <c r="U10" i="1" s="1"/>
  <c r="T12" i="1"/>
  <c r="T15" i="1"/>
  <c r="V15" i="1" s="1"/>
  <c r="T11" i="1"/>
  <c r="T14" i="1"/>
  <c r="T13" i="1"/>
  <c r="AB16" i="1"/>
  <c r="AD16" i="1"/>
  <c r="AI24" i="1" s="1"/>
  <c r="V21" i="1" l="1"/>
  <c r="U21" i="1"/>
  <c r="AG24" i="1"/>
  <c r="D22" i="1" s="1"/>
  <c r="AH24" i="1"/>
  <c r="F22" i="1" s="1"/>
  <c r="U14" i="1"/>
  <c r="Y14" i="1" s="1"/>
  <c r="AH14" i="1" s="1"/>
  <c r="U13" i="1"/>
  <c r="Y13" i="1" s="1"/>
  <c r="AH13" i="1" s="1"/>
  <c r="U12" i="1"/>
  <c r="Y12" i="1" s="1"/>
  <c r="AH12" i="1" s="1"/>
  <c r="U11" i="1"/>
  <c r="AF11" i="1" s="1"/>
  <c r="W9" i="1"/>
  <c r="U9" i="1"/>
  <c r="Y9" i="1" s="1"/>
  <c r="AH9" i="1" s="1"/>
  <c r="H22" i="1"/>
  <c r="AB19" i="1"/>
  <c r="R16" i="1"/>
  <c r="W13" i="1"/>
  <c r="W10" i="1"/>
  <c r="W11" i="1"/>
  <c r="W12" i="1"/>
  <c r="V14" i="1"/>
  <c r="W14" i="1"/>
  <c r="V10" i="1"/>
  <c r="V9" i="1"/>
  <c r="V13" i="1"/>
  <c r="V11" i="1"/>
  <c r="V12" i="1"/>
  <c r="W15" i="1"/>
  <c r="AF14" i="1" l="1"/>
  <c r="AG14" i="1" s="1"/>
  <c r="AF13" i="1"/>
  <c r="AG13" i="1" s="1"/>
  <c r="AF12" i="1"/>
  <c r="AG12" i="1" s="1"/>
  <c r="Y11" i="1"/>
  <c r="AH11" i="1" s="1"/>
  <c r="AF15" i="1"/>
  <c r="AG15" i="1" s="1"/>
  <c r="Y15" i="1"/>
  <c r="AH15" i="1" s="1"/>
  <c r="U16" i="1"/>
  <c r="AF9" i="1"/>
  <c r="AG9" i="1" s="1"/>
  <c r="AI9" i="1" s="1"/>
  <c r="AG11" i="1"/>
  <c r="AE12" i="1"/>
  <c r="Y10" i="1"/>
  <c r="AF10" i="1"/>
  <c r="AE11" i="1"/>
  <c r="V16" i="1"/>
  <c r="R21" i="1" s="1"/>
  <c r="AI14" i="1" l="1"/>
  <c r="AL14" i="1"/>
  <c r="AI13" i="1"/>
  <c r="AJ13" i="1" s="1"/>
  <c r="AL13" i="1"/>
  <c r="AM13" i="1" s="1"/>
  <c r="AL12" i="1"/>
  <c r="AI12" i="1"/>
  <c r="AL11" i="1"/>
  <c r="AI11" i="1"/>
  <c r="AL9" i="1"/>
  <c r="AM12" i="1"/>
  <c r="AJ12" i="1"/>
  <c r="AM11" i="1"/>
  <c r="AJ11" i="1"/>
  <c r="AE14" i="1"/>
  <c r="AE13" i="1"/>
  <c r="AE9" i="1"/>
  <c r="AO9" i="1" s="1"/>
  <c r="AH10" i="1"/>
  <c r="AH16" i="1" s="1"/>
  <c r="Y16" i="1"/>
  <c r="AG10" i="1"/>
  <c r="AI10" i="1" s="1"/>
  <c r="AF16" i="1"/>
  <c r="Q21" i="1"/>
  <c r="S21" i="1"/>
  <c r="AL10" i="1" l="1"/>
  <c r="AL16" i="1" s="1"/>
  <c r="AI16" i="1"/>
  <c r="AG26" i="1"/>
  <c r="D24" i="1" s="1"/>
  <c r="AI26" i="1"/>
  <c r="AH26" i="1"/>
  <c r="AM16" i="1"/>
  <c r="L17" i="1"/>
  <c r="AR6" i="1"/>
  <c r="AJ16" i="1"/>
  <c r="AE10" i="1"/>
  <c r="AO10" i="1" s="1"/>
  <c r="AH18" i="1"/>
  <c r="AG16" i="1"/>
  <c r="AR14" i="1" l="1"/>
  <c r="AS14" i="1"/>
  <c r="AT9" i="1"/>
  <c r="AR13" i="1"/>
  <c r="AS13" i="1"/>
  <c r="AR10" i="1"/>
  <c r="AR9" i="1"/>
  <c r="AT10" i="1"/>
  <c r="AR11" i="1"/>
  <c r="AR12" i="1"/>
  <c r="AH22" i="1"/>
  <c r="F20" i="1" s="1"/>
  <c r="AG22" i="1"/>
  <c r="D20" i="1" s="1"/>
  <c r="AS11" i="1"/>
  <c r="AS10" i="1"/>
  <c r="AS9" i="1"/>
  <c r="AS12" i="1"/>
  <c r="F24" i="1"/>
  <c r="AM17" i="1"/>
  <c r="AE16" i="1"/>
  <c r="AO16" i="1"/>
  <c r="AJ17" i="1"/>
  <c r="AP15" i="1" l="1"/>
  <c r="AP11" i="1"/>
  <c r="AP14" i="1"/>
  <c r="AP10" i="1"/>
  <c r="AP13" i="1"/>
  <c r="AP9" i="1"/>
  <c r="AP12" i="1"/>
  <c r="AN14" i="1"/>
  <c r="AN10" i="1"/>
  <c r="AN13" i="1"/>
  <c r="AN15" i="1"/>
  <c r="AN11" i="1"/>
  <c r="AN12" i="1"/>
  <c r="AN9" i="1" s="1"/>
  <c r="AK12" i="1"/>
  <c r="AK10" i="1"/>
  <c r="AK15" i="1"/>
  <c r="AK11" i="1"/>
  <c r="AK14" i="1"/>
  <c r="AK13" i="1"/>
  <c r="AG27" i="1"/>
  <c r="D25" i="1" s="1"/>
  <c r="AR16" i="1"/>
  <c r="AR17" i="1" s="1"/>
  <c r="AT16" i="1"/>
  <c r="AT17" i="1" s="1"/>
  <c r="AS16" i="1"/>
  <c r="AS17" i="1" s="1"/>
  <c r="AI22" i="1"/>
  <c r="H20" i="1" s="1"/>
  <c r="H24" i="1"/>
  <c r="AH27" i="1"/>
  <c r="AK9" i="1" l="1"/>
  <c r="AQ13" i="1"/>
  <c r="AU13" i="1" s="1"/>
  <c r="L13" i="1" s="1"/>
  <c r="AQ14" i="1"/>
  <c r="AU14" i="1" s="1"/>
  <c r="L14" i="1" s="1"/>
  <c r="AQ9" i="1"/>
  <c r="AQ10" i="1"/>
  <c r="AU10" i="1" s="1"/>
  <c r="L10" i="1" s="1"/>
  <c r="AQ11" i="1"/>
  <c r="AQ15" i="1"/>
  <c r="AU15" i="1" s="1"/>
  <c r="AQ12" i="1"/>
  <c r="AU12" i="1" s="1"/>
  <c r="L12" i="1" s="1"/>
  <c r="F25" i="1"/>
  <c r="AI27" i="1"/>
  <c r="H25" i="1" s="1"/>
  <c r="AP16" i="1"/>
  <c r="AP17" i="1" s="1"/>
  <c r="AU9" i="1" l="1"/>
  <c r="L9" i="1" s="1"/>
  <c r="AK16" i="1"/>
  <c r="AK17" i="1" s="1"/>
  <c r="AU11" i="1"/>
  <c r="L11" i="1" s="1"/>
  <c r="AQ16" i="1"/>
  <c r="AQ17" i="1" s="1"/>
  <c r="AN16" i="1"/>
  <c r="AN17" i="1" s="1"/>
  <c r="AG28" i="1"/>
  <c r="A17" i="1" l="1"/>
  <c r="G17" i="1" s="1"/>
  <c r="AU16" i="1"/>
</calcChain>
</file>

<file path=xl/sharedStrings.xml><?xml version="1.0" encoding="utf-8"?>
<sst xmlns="http://schemas.openxmlformats.org/spreadsheetml/2006/main" count="197" uniqueCount="105">
  <si>
    <t>注意事項　※必ずお読みください</t>
    <rPh sb="0" eb="4">
      <t>チュウイジコウ</t>
    </rPh>
    <rPh sb="6" eb="7">
      <t>カナラ</t>
    </rPh>
    <rPh sb="9" eb="10">
      <t>ヨ</t>
    </rPh>
    <phoneticPr fontId="2"/>
  </si>
  <si>
    <t>加入者</t>
    <rPh sb="0" eb="3">
      <t>カニュウシャ</t>
    </rPh>
    <phoneticPr fontId="2"/>
  </si>
  <si>
    <t>世帯主</t>
    <rPh sb="0" eb="3">
      <t>セタイヌシ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</si>
  <si>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</si>
  <si>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</si>
  <si>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</si>
  <si>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</si>
  <si>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世帯員５</t>
    <rPh sb="0" eb="3">
      <t>セタイイン</t>
    </rPh>
    <phoneticPr fontId="2"/>
  </si>
  <si>
    <t>世帯員６</t>
    <rPh sb="0" eb="3">
      <t>セタイイン</t>
    </rPh>
    <phoneticPr fontId="2"/>
  </si>
  <si>
    <t>年齢</t>
    <rPh sb="0" eb="2">
      <t>ネンレイ</t>
    </rPh>
    <phoneticPr fontId="2"/>
  </si>
  <si>
    <t>円</t>
    <rPh sb="0" eb="1">
      <t>エン</t>
    </rPh>
    <phoneticPr fontId="2"/>
  </si>
  <si>
    <t>給与収入</t>
    <rPh sb="0" eb="4">
      <t>キュウヨシュウニュウ</t>
    </rPh>
    <phoneticPr fontId="2"/>
  </si>
  <si>
    <t>年金収入</t>
    <rPh sb="0" eb="4">
      <t>ネンキンシュウニュウ</t>
    </rPh>
    <phoneticPr fontId="2"/>
  </si>
  <si>
    <t>その他の所得</t>
    <rPh sb="2" eb="3">
      <t>タ</t>
    </rPh>
    <rPh sb="4" eb="6">
      <t>ショトク</t>
    </rPh>
    <phoneticPr fontId="2"/>
  </si>
  <si>
    <r>
      <t>・</t>
    </r>
    <r>
      <rPr>
        <u/>
        <sz val="12"/>
        <color theme="1"/>
        <rFont val="BIZ UDゴシック"/>
        <family val="3"/>
        <charset val="128"/>
      </rPr>
      <t>この計算結果は、試算であり、実際の保険税額とは異なります</t>
    </r>
    <r>
      <rPr>
        <sz val="12"/>
        <color theme="1"/>
        <rFont val="BIZ UDゴシック"/>
        <family val="2"/>
        <charset val="128"/>
      </rPr>
      <t>。あくまでも参考としてご利用ください。
・以下のいずれかに該当する世帯は、試算結果に軽減等が反映されないため、本エクセルにて正しく計算されません。
①年度途中で国民健康保険に加入する(した)世帯員、脱退する(した)世帯員がいる場合
②年度途中で40歳・65歳・75歳になる(なった)世帯員がいる場合
③専従者控除または専従者給与のある世帯員がいる場合
④非自発的失業に係る保険税減額対象の世帯員がいる場合
⑤産前産後の保険税免除対象の世帯員がいる場合
⑥前年の所得を申告していない世帯員がいる場合
⑦分離課税・繰越控除等の申告をした世帯員がいる場合
⑧前年の所得の合計額が2,400万円を超える世帯員がいる場合
⑨前年に公的年金収入があり、かつ年金以外の所得が1,000万円を超える世帯員がいる場合</t>
    </r>
    <rPh sb="3" eb="5">
      <t>ケイサン</t>
    </rPh>
    <rPh sb="5" eb="7">
      <t>ケッカ</t>
    </rPh>
    <rPh sb="9" eb="11">
      <t>シサン</t>
    </rPh>
    <rPh sb="15" eb="17">
      <t>ジッサイ</t>
    </rPh>
    <rPh sb="18" eb="20">
      <t>ホケン</t>
    </rPh>
    <rPh sb="20" eb="21">
      <t>ゼイ</t>
    </rPh>
    <rPh sb="21" eb="22">
      <t>ガク</t>
    </rPh>
    <rPh sb="24" eb="25">
      <t>コト</t>
    </rPh>
    <rPh sb="35" eb="37">
      <t>サンコウ</t>
    </rPh>
    <rPh sb="41" eb="43">
      <t>リヨウ</t>
    </rPh>
    <rPh sb="50" eb="52">
      <t>イカ</t>
    </rPh>
    <rPh sb="58" eb="60">
      <t>ガイトウ</t>
    </rPh>
    <rPh sb="62" eb="64">
      <t>セタイ</t>
    </rPh>
    <rPh sb="66" eb="70">
      <t>シサンケッカ</t>
    </rPh>
    <rPh sb="71" eb="73">
      <t>ケイゲン</t>
    </rPh>
    <rPh sb="73" eb="74">
      <t>トウ</t>
    </rPh>
    <rPh sb="75" eb="77">
      <t>ハンエイ</t>
    </rPh>
    <rPh sb="84" eb="85">
      <t>ホン</t>
    </rPh>
    <rPh sb="91" eb="92">
      <t>タダ</t>
    </rPh>
    <rPh sb="94" eb="96">
      <t>ケイサン</t>
    </rPh>
    <rPh sb="104" eb="108">
      <t>ネンドトチュウ</t>
    </rPh>
    <rPh sb="109" eb="115">
      <t>コクミンケンコウホケン</t>
    </rPh>
    <rPh sb="116" eb="118">
      <t>カニュウ</t>
    </rPh>
    <rPh sb="124" eb="127">
      <t>セタイイン</t>
    </rPh>
    <rPh sb="128" eb="130">
      <t>ダッタイ</t>
    </rPh>
    <rPh sb="136" eb="139">
      <t>セタイイン</t>
    </rPh>
    <rPh sb="142" eb="144">
      <t>バアイ</t>
    </rPh>
    <rPh sb="146" eb="150">
      <t>ネンドトチュウ</t>
    </rPh>
    <rPh sb="153" eb="154">
      <t>サイ</t>
    </rPh>
    <rPh sb="157" eb="158">
      <t>サイ</t>
    </rPh>
    <rPh sb="161" eb="162">
      <t>サイ</t>
    </rPh>
    <rPh sb="170" eb="173">
      <t>セタイイン</t>
    </rPh>
    <rPh sb="176" eb="178">
      <t>バアイ</t>
    </rPh>
    <rPh sb="180" eb="183">
      <t>センジュウシャ</t>
    </rPh>
    <rPh sb="183" eb="185">
      <t>コウジョ</t>
    </rPh>
    <rPh sb="188" eb="191">
      <t>センジュウシャ</t>
    </rPh>
    <rPh sb="191" eb="193">
      <t>キュウヨ</t>
    </rPh>
    <rPh sb="196" eb="199">
      <t>セタイイン</t>
    </rPh>
    <rPh sb="202" eb="204">
      <t>バアイ</t>
    </rPh>
    <rPh sb="206" eb="212">
      <t>ヒジハツテキシツギョウ</t>
    </rPh>
    <rPh sb="213" eb="214">
      <t>カカ</t>
    </rPh>
    <rPh sb="215" eb="222">
      <t>ホケンゼイゲンガクタイショウ</t>
    </rPh>
    <rPh sb="223" eb="226">
      <t>セタイイン</t>
    </rPh>
    <rPh sb="229" eb="231">
      <t>バアイ</t>
    </rPh>
    <rPh sb="233" eb="237">
      <t>サンゼンサンゴ</t>
    </rPh>
    <rPh sb="238" eb="241">
      <t>ホケンゼイ</t>
    </rPh>
    <rPh sb="241" eb="245">
      <t>メンジョタイショウ</t>
    </rPh>
    <rPh sb="246" eb="249">
      <t>セタイイン</t>
    </rPh>
    <rPh sb="252" eb="254">
      <t>バアイ</t>
    </rPh>
    <rPh sb="256" eb="258">
      <t>ゼンネン</t>
    </rPh>
    <rPh sb="259" eb="261">
      <t>ショトク</t>
    </rPh>
    <rPh sb="262" eb="264">
      <t>シンコク</t>
    </rPh>
    <rPh sb="269" eb="272">
      <t>セタイイン</t>
    </rPh>
    <rPh sb="275" eb="277">
      <t>バアイ</t>
    </rPh>
    <rPh sb="279" eb="283">
      <t>ブンリカゼイ</t>
    </rPh>
    <phoneticPr fontId="2"/>
  </si>
  <si>
    <t>朝霞市国民健康保険税　簡易試算シート</t>
    <phoneticPr fontId="2"/>
  </si>
  <si>
    <t>か月</t>
    <rPh sb="1" eb="2">
      <t>ツキ</t>
    </rPh>
    <phoneticPr fontId="2"/>
  </si>
  <si>
    <t>入力▼</t>
    <rPh sb="0" eb="2">
      <t>ニュウリョク</t>
    </rPh>
    <phoneticPr fontId="2"/>
  </si>
  <si>
    <t>選択▼</t>
    <rPh sb="0" eb="2">
      <t>センタク</t>
    </rPh>
    <phoneticPr fontId="2"/>
  </si>
  <si>
    <t>医療保険分
(加入者全員)</t>
    <rPh sb="0" eb="5">
      <t>イリョウホケンブン</t>
    </rPh>
    <rPh sb="7" eb="12">
      <t>カニュウシャゼンイン</t>
    </rPh>
    <phoneticPr fontId="2"/>
  </si>
  <si>
    <t>後期高齢者支援金等分(加入者全員)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1" eb="16">
      <t>カニュウシャゼンイン</t>
    </rPh>
    <phoneticPr fontId="2"/>
  </si>
  <si>
    <t>所得割額</t>
    <rPh sb="0" eb="4">
      <t>ショトクワリガク</t>
    </rPh>
    <phoneticPr fontId="2"/>
  </si>
  <si>
    <t>資産割額</t>
    <rPh sb="0" eb="4">
      <t>シサンワリガク</t>
    </rPh>
    <phoneticPr fontId="2"/>
  </si>
  <si>
    <t>均等割額</t>
    <rPh sb="0" eb="4">
      <t>キントウワリガク</t>
    </rPh>
    <phoneticPr fontId="2"/>
  </si>
  <si>
    <t>平等割額</t>
    <rPh sb="0" eb="4">
      <t>ビョウドウワリガク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</si>
  <si>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</si>
  <si>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</si>
  <si>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1 加入期間を選択してください(途中で加入される方は、年度末の3月までの月数を選択してください)。</t>
    <rPh sb="2" eb="6">
      <t>カニュウキカン</t>
    </rPh>
    <rPh sb="7" eb="9">
      <t>センタク</t>
    </rPh>
    <rPh sb="16" eb="18">
      <t>トチュウ</t>
    </rPh>
    <rPh sb="19" eb="21">
      <t>カニュウ</t>
    </rPh>
    <rPh sb="24" eb="25">
      <t>カタ</t>
    </rPh>
    <rPh sb="27" eb="30">
      <t>ネンドマツ</t>
    </rPh>
    <rPh sb="32" eb="33">
      <t>ツキ</t>
    </rPh>
    <rPh sb="36" eb="38">
      <t>ゲッスウ</t>
    </rPh>
    <rPh sb="39" eb="41">
      <t>センタク</t>
    </rPh>
    <phoneticPr fontId="2"/>
  </si>
  <si>
    <t>(内訳)</t>
    <rPh sb="1" eb="3">
      <t>ウチワケ</t>
    </rPh>
    <phoneticPr fontId="2"/>
  </si>
  <si>
    <t>軽減額</t>
    <rPh sb="0" eb="3">
      <t>ケイゲンガク</t>
    </rPh>
    <phoneticPr fontId="2"/>
  </si>
  <si>
    <t>計算領域</t>
    <rPh sb="0" eb="2">
      <t>ケイサン</t>
    </rPh>
    <rPh sb="2" eb="4">
      <t>リョウイキ</t>
    </rPh>
    <phoneticPr fontId="8"/>
  </si>
  <si>
    <t>↓６５歳以上の方の年金の軽減判定所得は年金所得からマイナス１５万円されます</t>
    <rPh sb="3" eb="6">
      <t>サイイジョウ</t>
    </rPh>
    <rPh sb="7" eb="8">
      <t>カタ</t>
    </rPh>
    <rPh sb="9" eb="11">
      <t>ネンキン</t>
    </rPh>
    <rPh sb="12" eb="14">
      <t>ケイゲン</t>
    </rPh>
    <rPh sb="14" eb="16">
      <t>ハンテイ</t>
    </rPh>
    <rPh sb="16" eb="18">
      <t>ショトク</t>
    </rPh>
    <rPh sb="19" eb="21">
      <t>ネンキン</t>
    </rPh>
    <rPh sb="21" eb="23">
      <t>ショトク</t>
    </rPh>
    <rPh sb="31" eb="33">
      <t>マンエン</t>
    </rPh>
    <phoneticPr fontId="8"/>
  </si>
  <si>
    <t>↓軽減判定　給与所得者等人数判定用</t>
    <rPh sb="1" eb="3">
      <t>ケイゲン</t>
    </rPh>
    <rPh sb="3" eb="5">
      <t>ハンテイ</t>
    </rPh>
    <rPh sb="6" eb="8">
      <t>キュウヨ</t>
    </rPh>
    <rPh sb="8" eb="10">
      <t>ショトク</t>
    </rPh>
    <rPh sb="10" eb="11">
      <t>シャ</t>
    </rPh>
    <rPh sb="11" eb="12">
      <t>トウ</t>
    </rPh>
    <rPh sb="12" eb="14">
      <t>ニンズウ</t>
    </rPh>
    <rPh sb="14" eb="16">
      <t>ハンテイ</t>
    </rPh>
    <rPh sb="16" eb="17">
      <t>ヨウ</t>
    </rPh>
    <phoneticPr fontId="8"/>
  </si>
  <si>
    <t>↓所得金額調整控除判定用</t>
    <rPh sb="1" eb="3">
      <t>ショトク</t>
    </rPh>
    <rPh sb="3" eb="5">
      <t>キンガク</t>
    </rPh>
    <rPh sb="5" eb="7">
      <t>チョウセイ</t>
    </rPh>
    <rPh sb="7" eb="9">
      <t>コウジョ</t>
    </rPh>
    <rPh sb="9" eb="11">
      <t>ハンテイ</t>
    </rPh>
    <rPh sb="11" eb="12">
      <t>ヨウ</t>
    </rPh>
    <phoneticPr fontId="8"/>
  </si>
  <si>
    <t>給与1,628,000未満</t>
    <rPh sb="0" eb="2">
      <t>キュウヨ</t>
    </rPh>
    <rPh sb="11" eb="13">
      <t>ミマン</t>
    </rPh>
    <phoneticPr fontId="8"/>
  </si>
  <si>
    <t>給与1,628,000以上</t>
    <rPh sb="0" eb="2">
      <t>キュウヨ</t>
    </rPh>
    <rPh sb="11" eb="13">
      <t>イジョウ</t>
    </rPh>
    <phoneticPr fontId="8"/>
  </si>
  <si>
    <t>65歳未満の年金所得</t>
    <rPh sb="2" eb="5">
      <t>サイミマン</t>
    </rPh>
    <rPh sb="6" eb="8">
      <t>ネンキン</t>
    </rPh>
    <rPh sb="8" eb="10">
      <t>ショトク</t>
    </rPh>
    <phoneticPr fontId="8"/>
  </si>
  <si>
    <t>65歳以上の年金所得</t>
    <rPh sb="2" eb="5">
      <t>サイイジョウ</t>
    </rPh>
    <rPh sb="6" eb="8">
      <t>ネンキン</t>
    </rPh>
    <rPh sb="8" eb="10">
      <t>ショトク</t>
    </rPh>
    <phoneticPr fontId="8"/>
  </si>
  <si>
    <t>給与か年金どちらかもしくは両方所得がある方</t>
    <rPh sb="0" eb="2">
      <t>キュウヨ</t>
    </rPh>
    <rPh sb="3" eb="5">
      <t>ネンキン</t>
    </rPh>
    <rPh sb="13" eb="15">
      <t>リョウホウ</t>
    </rPh>
    <rPh sb="15" eb="17">
      <t>ショトク</t>
    </rPh>
    <rPh sb="20" eb="21">
      <t>カタ</t>
    </rPh>
    <phoneticPr fontId="8"/>
  </si>
  <si>
    <t>給与と年金両方の所得がある方</t>
    <rPh sb="0" eb="2">
      <t>キュウヨ</t>
    </rPh>
    <rPh sb="3" eb="5">
      <t>ネンキン</t>
    </rPh>
    <rPh sb="5" eb="7">
      <t>リョウホウ</t>
    </rPh>
    <rPh sb="8" eb="10">
      <t>ショトク</t>
    </rPh>
    <rPh sb="13" eb="14">
      <t>カタ</t>
    </rPh>
    <phoneticPr fontId="8"/>
  </si>
  <si>
    <t>６５歳以上判定</t>
    <rPh sb="2" eb="5">
      <t>サイイジョウ</t>
    </rPh>
    <rPh sb="5" eb="7">
      <t>ハンテイ</t>
    </rPh>
    <phoneticPr fontId="8"/>
  </si>
  <si>
    <t>年金の軽減所得判定</t>
    <rPh sb="0" eb="2">
      <t>ネンキン</t>
    </rPh>
    <rPh sb="3" eb="5">
      <t>ケイゲン</t>
    </rPh>
    <rPh sb="5" eb="7">
      <t>ショトク</t>
    </rPh>
    <rPh sb="7" eb="9">
      <t>ハンテイ</t>
    </rPh>
    <phoneticPr fontId="8"/>
  </si>
  <si>
    <t>被保人数</t>
    <rPh sb="0" eb="1">
      <t>ヒ</t>
    </rPh>
    <rPh sb="1" eb="2">
      <t>ホ</t>
    </rPh>
    <rPh sb="2" eb="4">
      <t>ニンズウ</t>
    </rPh>
    <phoneticPr fontId="8"/>
  </si>
  <si>
    <t>介護人数</t>
    <rPh sb="0" eb="2">
      <t>カイゴ</t>
    </rPh>
    <rPh sb="2" eb="4">
      <t>ニンズウ</t>
    </rPh>
    <phoneticPr fontId="8"/>
  </si>
  <si>
    <t>介護の算定基礎</t>
    <rPh sb="0" eb="2">
      <t>カイゴ</t>
    </rPh>
    <rPh sb="3" eb="5">
      <t>サンテイ</t>
    </rPh>
    <rPh sb="5" eb="7">
      <t>キソ</t>
    </rPh>
    <phoneticPr fontId="8"/>
  </si>
  <si>
    <t>合計所得</t>
    <rPh sb="0" eb="2">
      <t>ゴウケイ</t>
    </rPh>
    <rPh sb="2" eb="4">
      <t>ショトク</t>
    </rPh>
    <phoneticPr fontId="8"/>
  </si>
  <si>
    <t>算定基礎額</t>
    <rPh sb="0" eb="2">
      <t>サンテイ</t>
    </rPh>
    <rPh sb="2" eb="4">
      <t>キソ</t>
    </rPh>
    <rPh sb="4" eb="5">
      <t>ガク</t>
    </rPh>
    <phoneticPr fontId="8"/>
  </si>
  <si>
    <t>６５歳以上の擬制世帯主</t>
    <rPh sb="2" eb="5">
      <t>サイイジョウ</t>
    </rPh>
    <rPh sb="6" eb="8">
      <t>ギセイ</t>
    </rPh>
    <rPh sb="8" eb="11">
      <t>セタイヌシ</t>
    </rPh>
    <phoneticPr fontId="8"/>
  </si>
  <si>
    <t>６５歳未満の擬制世帯主</t>
    <rPh sb="2" eb="5">
      <t>サイミマン</t>
    </rPh>
    <rPh sb="6" eb="8">
      <t>ギセイ</t>
    </rPh>
    <rPh sb="8" eb="11">
      <t>セタイヌシ</t>
    </rPh>
    <phoneticPr fontId="8"/>
  </si>
  <si>
    <t>７割軽減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</si>
  <si>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５割軽減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</si>
  <si>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２割軽減
基準額</t>
    <rPh sb="1" eb="2">
      <t>ワリ</t>
    </rPh>
    <rPh sb="2" eb="4">
      <t>ケイゲン</t>
    </rPh>
    <rPh sb="5" eb="7">
      <t>キジュン</t>
    </rPh>
    <rPh sb="7" eb="8">
      <t>ガク</t>
    </rPh>
    <phoneticPr fontId="8"/>
  </si>
  <si>
    <t>擬制世帯主＋被保険者数合計</t>
    <rPh sb="0" eb="2">
      <t>ギセイ</t>
    </rPh>
    <rPh sb="2" eb="5">
      <t>セタイヌシ</t>
    </rPh>
    <rPh sb="6" eb="10">
      <t>ヒホケンシャ</t>
    </rPh>
    <rPh sb="10" eb="11">
      <t>スウ</t>
    </rPh>
    <rPh sb="11" eb="13">
      <t>ゴウケイ</t>
    </rPh>
    <phoneticPr fontId="8"/>
  </si>
  <si>
    <t>１期</t>
    <rPh sb="1" eb="2">
      <t>キ</t>
    </rPh>
    <phoneticPr fontId="8"/>
  </si>
  <si>
    <t>２期</t>
    <rPh sb="1" eb="2">
      <t>キ</t>
    </rPh>
    <phoneticPr fontId="8"/>
  </si>
  <si>
    <t>３期</t>
    <rPh sb="1" eb="2">
      <t>キ</t>
    </rPh>
    <phoneticPr fontId="8"/>
  </si>
  <si>
    <t>４期</t>
    <rPh sb="1" eb="2">
      <t>キ</t>
    </rPh>
    <phoneticPr fontId="8"/>
  </si>
  <si>
    <t>５期</t>
    <rPh sb="1" eb="2">
      <t>キ</t>
    </rPh>
    <phoneticPr fontId="8"/>
  </si>
  <si>
    <t>６期</t>
    <rPh sb="1" eb="2">
      <t>キ</t>
    </rPh>
    <phoneticPr fontId="8"/>
  </si>
  <si>
    <t>７期</t>
    <rPh sb="1" eb="2">
      <t>キ</t>
    </rPh>
    <phoneticPr fontId="8"/>
  </si>
  <si>
    <t>８期</t>
    <rPh sb="1" eb="2">
      <t>キ</t>
    </rPh>
    <phoneticPr fontId="8"/>
  </si>
  <si>
    <t>年税額／８</t>
    <rPh sb="0" eb="3">
      <t>ネンゼイガク</t>
    </rPh>
    <phoneticPr fontId="8"/>
  </si>
  <si>
    <t>千円未満を第１期に合計。２期～８期は千円未満切り捨て</t>
    <rPh sb="0" eb="2">
      <t>センエン</t>
    </rPh>
    <rPh sb="2" eb="4">
      <t>ミマン</t>
    </rPh>
    <rPh sb="5" eb="6">
      <t>ダイ</t>
    </rPh>
    <rPh sb="7" eb="8">
      <t>キ</t>
    </rPh>
    <rPh sb="9" eb="11">
      <t>ゴウケイ</t>
    </rPh>
    <rPh sb="13" eb="14">
      <t>キ</t>
    </rPh>
    <rPh sb="16" eb="17">
      <t>キ</t>
    </rPh>
    <rPh sb="18" eb="20">
      <t>センエン</t>
    </rPh>
    <rPh sb="20" eb="22">
      <t>ミマン</t>
    </rPh>
    <rPh sb="22" eb="23">
      <t>キ</t>
    </rPh>
    <rPh sb="24" eb="25">
      <t>ス</t>
    </rPh>
    <phoneticPr fontId="8"/>
  </si>
  <si>
    <t>第１期＋第２期～第８期の(a)と(b)</t>
    <rPh sb="0" eb="1">
      <t>ダイ</t>
    </rPh>
    <rPh sb="2" eb="3">
      <t>キ</t>
    </rPh>
    <rPh sb="4" eb="5">
      <t>ダイ</t>
    </rPh>
    <rPh sb="6" eb="7">
      <t>キ</t>
    </rPh>
    <rPh sb="8" eb="9">
      <t>ダイ</t>
    </rPh>
    <rPh sb="10" eb="11">
      <t>キ</t>
    </rPh>
    <phoneticPr fontId="8"/>
  </si>
  <si>
    <t>固定資産税額</t>
    <rPh sb="0" eb="6">
      <t>コテイシサンゼイガク</t>
    </rPh>
    <phoneticPr fontId="2"/>
  </si>
  <si>
    <t>給与所得</t>
    <rPh sb="0" eb="4">
      <t>キュウヨショトク</t>
    </rPh>
    <phoneticPr fontId="2"/>
  </si>
  <si>
    <t>年金所得</t>
    <rPh sb="0" eb="2">
      <t>ネンキン</t>
    </rPh>
    <rPh sb="2" eb="4">
      <t>ショトク</t>
    </rPh>
    <phoneticPr fontId="2"/>
  </si>
  <si>
    <t>65歳以上判定</t>
    <rPh sb="2" eb="5">
      <t>サイイジョウ</t>
    </rPh>
    <rPh sb="5" eb="7">
      <t>ハンテイ</t>
    </rPh>
    <phoneticPr fontId="8"/>
  </si>
  <si>
    <t>未就学児</t>
    <rPh sb="0" eb="4">
      <t>ミシュウガクジ</t>
    </rPh>
    <phoneticPr fontId="8"/>
  </si>
  <si>
    <t>未就学児軽減</t>
    <rPh sb="0" eb="4">
      <t>ミシュウガクジ</t>
    </rPh>
    <rPh sb="4" eb="6">
      <t>ケイゲン</t>
    </rPh>
    <phoneticPr fontId="2"/>
  </si>
  <si>
    <t>軽減判定所得額合計</t>
    <rPh sb="0" eb="4">
      <t>ケイゲンハンテイ</t>
    </rPh>
    <rPh sb="4" eb="7">
      <t>ショトクガク</t>
    </rPh>
    <rPh sb="7" eb="9">
      <t>ゴウケイ</t>
    </rPh>
    <phoneticPr fontId="8"/>
  </si>
  <si>
    <t>医療保険分</t>
    <rPh sb="0" eb="5">
      <t>イリョウホケンブン</t>
    </rPh>
    <phoneticPr fontId="2"/>
  </si>
  <si>
    <t>後期高齢者支援金当分</t>
    <rPh sb="0" eb="5">
      <t>コウキコウレイシャ</t>
    </rPh>
    <rPh sb="5" eb="8">
      <t>シエンキン</t>
    </rPh>
    <rPh sb="8" eb="10">
      <t>トウブン</t>
    </rPh>
    <phoneticPr fontId="2"/>
  </si>
  <si>
    <t>税率</t>
    <rPh sb="0" eb="2">
      <t>ゼイリツ</t>
    </rPh>
    <phoneticPr fontId="2"/>
  </si>
  <si>
    <t>後期高齢者支援金当分</t>
    <rPh sb="0" eb="5">
      <t>コウキコウレイシャ</t>
    </rPh>
    <rPh sb="5" eb="10">
      <t>シエンキントウブン</t>
    </rPh>
    <phoneticPr fontId="2"/>
  </si>
  <si>
    <t>介護保険分</t>
    <rPh sb="0" eb="5">
      <t>カイゴホケンブン</t>
    </rPh>
    <phoneticPr fontId="2"/>
  </si>
  <si>
    <t>限度額</t>
    <rPh sb="0" eb="3">
      <t>ゲンドガク</t>
    </rPh>
    <phoneticPr fontId="2"/>
  </si>
  <si>
    <t>R7</t>
    <phoneticPr fontId="2"/>
  </si>
  <si>
    <t>擬主or世帯主別 算定基礎合計額</t>
    <rPh sb="0" eb="1">
      <t>ギ</t>
    </rPh>
    <rPh sb="1" eb="2">
      <t>ヌシ</t>
    </rPh>
    <rPh sb="4" eb="7">
      <t>セタイヌシ</t>
    </rPh>
    <rPh sb="7" eb="8">
      <t>ベツ</t>
    </rPh>
    <rPh sb="9" eb="16">
      <t>サンテイキソゴウケイガク</t>
    </rPh>
    <phoneticPr fontId="2"/>
  </si>
  <si>
    <t>介護の算定基礎合計額</t>
    <rPh sb="0" eb="2">
      <t>カイゴ</t>
    </rPh>
    <rPh sb="3" eb="5">
      <t>サンテイ</t>
    </rPh>
    <rPh sb="5" eb="7">
      <t>キソ</t>
    </rPh>
    <rPh sb="7" eb="10">
      <t>ゴウケイガク</t>
    </rPh>
    <phoneticPr fontId="8"/>
  </si>
  <si>
    <t>【問合せ】
朝霞市保険年金課
国民健康保険係
電話：048-463-0283</t>
    <rPh sb="1" eb="3">
      <t>トイアワ</t>
    </rPh>
    <rPh sb="6" eb="9">
      <t>アサカシ</t>
    </rPh>
    <rPh sb="9" eb="14">
      <t>ホケンネンキンカ</t>
    </rPh>
    <rPh sb="15" eb="21">
      <t>コクミンケンコウホケン</t>
    </rPh>
    <rPh sb="21" eb="22">
      <t>カカリ</t>
    </rPh>
    <rPh sb="23" eb="25">
      <t>デンワ</t>
    </rPh>
    <phoneticPr fontId="2"/>
  </si>
  <si>
    <t>軽減</t>
    <rPh sb="0" eb="2">
      <t>ケイゲン</t>
    </rPh>
    <phoneticPr fontId="2"/>
  </si>
  <si>
    <t>(賦課限度額)</t>
    <rPh sb="1" eb="3">
      <t>フカ</t>
    </rPh>
    <rPh sb="3" eb="6">
      <t>ゲンドガク</t>
    </rPh>
    <phoneticPr fontId="2"/>
  </si>
  <si>
    <t>円</t>
    <rPh sb="0" eb="1">
      <t>エン</t>
    </rPh>
    <phoneticPr fontId="2"/>
  </si>
  <si>
    <t>固定資産税額</t>
    <rPh sb="0" eb="6">
      <t>コテイシサンゼイガク</t>
    </rPh>
    <phoneticPr fontId="2"/>
  </si>
  <si>
    <t>うち未就学児</t>
    <rPh sb="2" eb="6">
      <t>ミシュウガクジ</t>
    </rPh>
    <phoneticPr fontId="2"/>
  </si>
  <si>
    <t>元計算</t>
    <rPh sb="0" eb="1">
      <t>ゲン</t>
    </rPh>
    <rPh sb="1" eb="3">
      <t>ケイサン</t>
    </rPh>
    <phoneticPr fontId="2"/>
  </si>
  <si>
    <t>介護支援金分(40～65歳未満の加入者)</t>
    <rPh sb="0" eb="2">
      <t>カイゴ</t>
    </rPh>
    <rPh sb="2" eb="4">
      <t>シエン</t>
    </rPh>
    <rPh sb="4" eb="5">
      <t>キン</t>
    </rPh>
    <rPh sb="5" eb="6">
      <t>ブン</t>
    </rPh>
    <rPh sb="12" eb="15">
      <t>サイミマン</t>
    </rPh>
    <rPh sb="16" eb="19">
      <t>カニュウシャ</t>
    </rPh>
    <phoneticPr fontId="2"/>
  </si>
  <si>
    <t>介護支援金分</t>
    <rPh sb="0" eb="6">
      <t>カイゴシエンキンブン</t>
    </rPh>
    <phoneticPr fontId="2"/>
  </si>
  <si>
    <t>後期高齢者支援金等分</t>
    <rPh sb="0" eb="5">
      <t>コウキコウレイシャ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2"/>
  </si>
  <si>
    <t>元計算</t>
    <rPh sb="0" eb="3">
      <t>モトケイサン</t>
    </rPh>
    <phoneticPr fontId="2"/>
  </si>
  <si>
    <t>2 加入者の年齢、収入、固定資産税額(朝霞市内)を記入してください(年齢を選択しないと計算されません)。</t>
    <rPh sb="2" eb="5">
      <t>カニュウシャ</t>
    </rPh>
    <rPh sb="6" eb="8">
      <t>ネンレイ</t>
    </rPh>
    <rPh sb="9" eb="11">
      <t>シュウニュウ</t>
    </rPh>
    <rPh sb="12" eb="18">
      <t>コテイシサンゼイガク</t>
    </rPh>
    <rPh sb="19" eb="23">
      <t>アサカシナイ</t>
    </rPh>
    <rPh sb="25" eb="27">
      <t>キニュウ</t>
    </rPh>
    <rPh sb="34" eb="36">
      <t>ネンレイ</t>
    </rPh>
    <rPh sb="37" eb="39">
      <t>センタク</t>
    </rPh>
    <rPh sb="43" eb="45">
      <t>ケイサン</t>
    </rPh>
    <phoneticPr fontId="2"/>
  </si>
  <si>
    <t>限度額適用</t>
    <rPh sb="0" eb="3">
      <t>ゲンドガク</t>
    </rPh>
    <rPh sb="3" eb="5">
      <t>テキヨウ</t>
    </rPh>
    <phoneticPr fontId="2"/>
  </si>
  <si>
    <t>医療保険分</t>
    <phoneticPr fontId="2"/>
  </si>
  <si>
    <t>後期高齢者支援金等分</t>
    <rPh sb="0" eb="5">
      <t>コウキコウレイシャ</t>
    </rPh>
    <rPh sb="5" eb="8">
      <t>シエンキン</t>
    </rPh>
    <rPh sb="8" eb="9">
      <t>トウ</t>
    </rPh>
    <rPh sb="9" eb="10">
      <t>ブン</t>
    </rPh>
    <phoneticPr fontId="2"/>
  </si>
  <si>
    <t>合計</t>
    <rPh sb="0" eb="2">
      <t>ゴウケイ</t>
    </rPh>
    <phoneticPr fontId="2"/>
  </si>
  <si>
    <t>❶国民健康保険税試算額(年税額)</t>
    <rPh sb="1" eb="8">
      <t>コクミンケンコウホケンゼイ</t>
    </rPh>
    <rPh sb="8" eb="11">
      <t>シサンガク</t>
    </rPh>
    <rPh sb="12" eb="15">
      <t>ネンゼイガク</t>
    </rPh>
    <phoneticPr fontId="2"/>
  </si>
  <si>
    <t>❷参考(1か月当たり)</t>
    <rPh sb="1" eb="3">
      <t>サンコウ</t>
    </rPh>
    <rPh sb="6" eb="7">
      <t>ツキ</t>
    </rPh>
    <rPh sb="7" eb="8">
      <t>ア</t>
    </rPh>
    <phoneticPr fontId="2"/>
  </si>
  <si>
    <t>❸軽減判定</t>
    <phoneticPr fontId="2"/>
  </si>
  <si>
    <t>❹個人別年間保険税
試算(目安)</t>
    <rPh sb="1" eb="4">
      <t>コジンベツ</t>
    </rPh>
    <rPh sb="4" eb="6">
      <t>ネンカン</t>
    </rPh>
    <rPh sb="6" eb="8">
      <t>ホケン</t>
    </rPh>
    <rPh sb="8" eb="9">
      <t>ゼイ</t>
    </rPh>
    <rPh sb="10" eb="12">
      <t>シサン</t>
    </rPh>
    <rPh sb="13" eb="15">
      <t>メヤス</t>
    </rPh>
    <phoneticPr fontId="2"/>
  </si>
  <si>
    <t>❶年税額と❹の合計額では、端数が合わないことがあります↑</t>
    <rPh sb="1" eb="4">
      <t>ネンゼイガク</t>
    </rPh>
    <rPh sb="7" eb="10">
      <t>ゴウケイガク</t>
    </rPh>
    <phoneticPr fontId="2"/>
  </si>
  <si>
    <t>介護保険分(40～65歳未満の加入者)</t>
    <rPh sb="0" eb="2">
      <t>カイゴ</t>
    </rPh>
    <rPh sb="2" eb="4">
      <t>ホケン</t>
    </rPh>
    <rPh sb="4" eb="5">
      <t>ブン</t>
    </rPh>
    <rPh sb="11" eb="14">
      <t>サイミマン</t>
    </rPh>
    <rPh sb="15" eb="18">
      <t>カニュウシャ</t>
    </rPh>
    <phoneticPr fontId="2"/>
  </si>
  <si>
    <t>合計額</t>
    <rPh sb="0" eb="3">
      <t>ゴウケイガク</t>
    </rPh>
    <phoneticPr fontId="2"/>
  </si>
  <si>
    <t>令和6年(1～12月)の収入</t>
    <rPh sb="0" eb="2">
      <t>レイワ</t>
    </rPh>
    <rPh sb="3" eb="4">
      <t>ネン</t>
    </rPh>
    <rPh sb="9" eb="10">
      <t>ツキ</t>
    </rPh>
    <rPh sb="12" eb="14">
      <t>シュウニュウ</t>
    </rPh>
    <phoneticPr fontId="2"/>
  </si>
  <si>
    <t>令和６年度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</si>
</sst>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u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3"/>
    </font>
    <font>
      <b/>
      <sz val="28"/>
      <color indexed="8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indexed="8"/>
      <name val="BIZ UDゴシック"/>
      <family val="3"/>
      <charset val="128"/>
    </font>
    <font>
      <sz val="6"/>
      <color theme="1"/>
      <name val="BIZ UDゴシック"/>
      <family val="2"/>
      <charset val="128"/>
    </font>
    <font>
      <sz val="8"/>
      <color theme="1"/>
      <name val="BIZ UDゴシック"/>
      <family val="2"/>
      <charset val="128"/>
    </font>
    <font>
      <sz val="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</xf>
    <xf numFmtId="0" fontId="0" fillId="0" borderId="36" xfId="0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" fontId="0" fillId="2" borderId="28" xfId="0" applyNumberFormat="1" applyFill="1" applyBorder="1" applyAlignment="1" applyProtection="1">
      <alignment horizontal="right" vertical="center"/>
      <protection locked="0"/>
    </xf>
    <xf numFmtId="3" fontId="0" fillId="2" borderId="10" xfId="0" applyNumberFormat="1" applyFill="1" applyBorder="1" applyAlignment="1" applyProtection="1">
      <alignment horizontal="right" vertical="center"/>
      <protection locked="0"/>
    </xf>
    <xf numFmtId="3" fontId="0" fillId="2" borderId="23" xfId="0" applyNumberFormat="1" applyFill="1" applyBorder="1" applyAlignment="1" applyProtection="1">
      <alignment horizontal="right" vertical="center"/>
      <protection locked="0"/>
    </xf>
    <xf numFmtId="3" fontId="0" fillId="0" borderId="15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shrinkToFit="1"/>
    </xf>
    <xf numFmtId="0" fontId="11" fillId="0" borderId="0" xfId="0" applyFo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38" fontId="10" fillId="0" borderId="3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/>
    </xf>
    <xf numFmtId="0" fontId="10" fillId="6" borderId="9" xfId="0" applyFont="1" applyFill="1" applyBorder="1" applyAlignment="1">
      <alignment horizontal="right" vertical="center"/>
    </xf>
    <xf numFmtId="40" fontId="10" fillId="0" borderId="9" xfId="1" applyNumberFormat="1" applyFont="1" applyBorder="1" applyAlignment="1">
      <alignment horizontal="right" vertical="center"/>
    </xf>
    <xf numFmtId="0" fontId="10" fillId="0" borderId="0" xfId="0" applyFont="1" applyProtection="1">
      <alignment vertical="center"/>
    </xf>
    <xf numFmtId="0" fontId="10" fillId="6" borderId="9" xfId="0" applyFont="1" applyFill="1" applyBorder="1" applyProtection="1">
      <alignment vertical="center"/>
    </xf>
    <xf numFmtId="38" fontId="10" fillId="0" borderId="9" xfId="0" applyNumberFormat="1" applyFont="1" applyBorder="1" applyAlignment="1">
      <alignment horizontal="right" vertical="center"/>
    </xf>
    <xf numFmtId="38" fontId="10" fillId="0" borderId="9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3" fontId="10" fillId="7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 applyProtection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35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0" fillId="7" borderId="10" xfId="0" applyNumberForma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horizontal="center" vertical="center"/>
    </xf>
    <xf numFmtId="38" fontId="10" fillId="8" borderId="32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3" fontId="10" fillId="7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0" fillId="8" borderId="35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39" xfId="0" applyNumberFormat="1" applyFont="1" applyFill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3" fontId="14" fillId="0" borderId="41" xfId="0" applyNumberFormat="1" applyFont="1" applyBorder="1">
      <alignment vertical="center"/>
    </xf>
    <xf numFmtId="3" fontId="14" fillId="0" borderId="41" xfId="0" applyNumberFormat="1" applyFont="1" applyFill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8" borderId="1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3" fontId="12" fillId="8" borderId="9" xfId="0" applyNumberFormat="1" applyFont="1" applyFill="1" applyBorder="1" applyAlignment="1">
      <alignment horizontal="center" vertical="top"/>
    </xf>
    <xf numFmtId="0" fontId="10" fillId="6" borderId="32" xfId="0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1" fillId="6" borderId="47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3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7" fillId="0" borderId="41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4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93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showGridLines="0" tabSelected="1" view="pageBreakPreview" zoomScaleNormal="90" zoomScaleSheetLayoutView="100" workbookViewId="0">
      <selection activeCell="A5" sqref="A5:B5"/>
    </sheetView>
  </sheetViews>
  <sheetFormatPr defaultRowHeight="14.25" x14ac:dyDescent="0.15"/>
  <cols>
    <col min="1" max="1" width="10" customWidth="1"/>
    <col min="2" max="2" width="11.625" customWidth="1"/>
    <col min="3" max="3" width="5" customWidth="1"/>
    <col min="4" max="4" width="14.625" customWidth="1"/>
    <col min="5" max="5" width="4.625" customWidth="1"/>
    <col min="6" max="6" width="14.625" customWidth="1"/>
    <col min="7" max="7" width="5" customWidth="1"/>
    <col min="8" max="8" width="14.625" customWidth="1"/>
    <col min="9" max="9" width="5" customWidth="1"/>
    <col min="10" max="10" width="14.625" customWidth="1"/>
    <col min="11" max="11" width="5.125" customWidth="1"/>
    <col min="12" max="12" width="14.625" customWidth="1"/>
    <col min="13" max="13" width="4.625" customWidth="1"/>
    <col min="14" max="14" width="9" customWidth="1"/>
    <col min="15" max="31" width="9" style="19" hidden="1" customWidth="1"/>
    <col min="32" max="47" width="9" hidden="1" customWidth="1"/>
    <col min="48" max="48" width="9" customWidth="1"/>
  </cols>
  <sheetData>
    <row r="1" spans="1:48" ht="24" customHeight="1" thickBot="1" x14ac:dyDescent="0.2">
      <c r="A1" s="141" t="s">
        <v>104</v>
      </c>
      <c r="B1" s="141"/>
      <c r="C1" s="4" t="s">
        <v>15</v>
      </c>
      <c r="O1" s="107" t="s">
        <v>30</v>
      </c>
      <c r="P1" s="107"/>
      <c r="Q1" s="107"/>
      <c r="R1" s="30"/>
    </row>
    <row r="2" spans="1:48" ht="15" customHeight="1" thickBot="1" x14ac:dyDescent="0.2">
      <c r="A2" s="136" t="s">
        <v>0</v>
      </c>
      <c r="B2" s="137"/>
      <c r="C2" s="137"/>
      <c r="D2" s="138"/>
      <c r="O2" s="107"/>
      <c r="P2" s="107"/>
      <c r="Q2" s="107"/>
      <c r="R2" s="30"/>
    </row>
    <row r="3" spans="1:48" ht="165" customHeight="1" thickBot="1" x14ac:dyDescent="0.2">
      <c r="A3" s="161" t="s">
        <v>14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  <c r="P3" s="30"/>
      <c r="Q3" s="30"/>
      <c r="R3" s="30"/>
    </row>
    <row r="4" spans="1:48" ht="21" customHeight="1" thickBot="1" x14ac:dyDescent="0.2">
      <c r="A4" s="6" t="s">
        <v>27</v>
      </c>
      <c r="P4" s="31"/>
      <c r="Q4" s="31"/>
      <c r="R4" s="31"/>
      <c r="S4" s="31"/>
      <c r="T4" s="31"/>
      <c r="U4" s="31"/>
      <c r="V4" s="31"/>
      <c r="W4" s="32" t="s">
        <v>31</v>
      </c>
      <c r="X4" s="32"/>
      <c r="Y4" s="32"/>
      <c r="Z4" s="32"/>
      <c r="AA4" s="32"/>
      <c r="AB4" s="32"/>
      <c r="AC4" s="32"/>
      <c r="AD4" s="32"/>
      <c r="AE4" s="32"/>
      <c r="AF4" s="32"/>
    </row>
    <row r="5" spans="1:48" ht="15" customHeight="1" thickBot="1" x14ac:dyDescent="0.2">
      <c r="A5" s="144"/>
      <c r="B5" s="145"/>
      <c r="C5" s="2" t="s">
        <v>16</v>
      </c>
      <c r="P5" s="31"/>
      <c r="Q5" s="31"/>
      <c r="R5" s="31"/>
      <c r="S5" s="31"/>
      <c r="T5" s="31"/>
      <c r="U5" s="31"/>
      <c r="V5" s="31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48" ht="21" customHeight="1" thickBot="1" x14ac:dyDescent="0.2">
      <c r="A6" s="14" t="s">
        <v>91</v>
      </c>
      <c r="L6" s="104"/>
      <c r="M6" s="105"/>
      <c r="P6" s="31"/>
      <c r="Q6" s="31"/>
      <c r="R6" s="31"/>
      <c r="S6" s="31"/>
      <c r="T6" s="33" t="s">
        <v>32</v>
      </c>
      <c r="U6" s="34" t="s">
        <v>33</v>
      </c>
      <c r="V6" s="31"/>
      <c r="W6" s="32"/>
      <c r="X6" s="32"/>
      <c r="Y6" s="32"/>
      <c r="Z6" s="32"/>
      <c r="AA6" s="32"/>
      <c r="AB6" s="32"/>
      <c r="AC6" s="32"/>
      <c r="AD6" s="32"/>
      <c r="AE6" s="32"/>
      <c r="AF6" s="32"/>
      <c r="AR6" s="102" t="str">
        <f>IF($AH$16&lt;=$Q$21,"7割軽減",IF(AND($AH$16&gt;$Q$21,$AH$16&lt;=$R$21),"5割軽減",IF(AND($AH$16&gt;$R$21,$AH$16&lt;=$S$21),"2割軽減","なし")))</f>
        <v>7割軽減</v>
      </c>
      <c r="AS6" s="103"/>
      <c r="AT6" s="1"/>
    </row>
    <row r="7" spans="1:48" ht="15" customHeight="1" x14ac:dyDescent="0.15">
      <c r="A7" s="146" t="s">
        <v>1</v>
      </c>
      <c r="B7" s="146" t="s">
        <v>9</v>
      </c>
      <c r="C7" s="148" t="s">
        <v>18</v>
      </c>
      <c r="D7" s="146" t="s">
        <v>103</v>
      </c>
      <c r="E7" s="146"/>
      <c r="F7" s="146"/>
      <c r="G7" s="146"/>
      <c r="H7" s="146"/>
      <c r="I7" s="146"/>
      <c r="J7" s="146" t="s">
        <v>64</v>
      </c>
      <c r="K7" s="148" t="s">
        <v>17</v>
      </c>
      <c r="L7" s="124" t="s">
        <v>99</v>
      </c>
      <c r="M7" s="124"/>
      <c r="P7" s="118" t="s">
        <v>34</v>
      </c>
      <c r="Q7" s="108" t="s">
        <v>35</v>
      </c>
      <c r="R7" s="132" t="s">
        <v>65</v>
      </c>
      <c r="S7" s="125" t="s">
        <v>36</v>
      </c>
      <c r="T7" s="108" t="s">
        <v>37</v>
      </c>
      <c r="U7" s="110" t="s">
        <v>66</v>
      </c>
      <c r="V7" s="125" t="s">
        <v>38</v>
      </c>
      <c r="W7" s="118" t="s">
        <v>39</v>
      </c>
      <c r="X7" s="108" t="s">
        <v>67</v>
      </c>
      <c r="Y7" s="110" t="s">
        <v>41</v>
      </c>
      <c r="Z7" s="110" t="s">
        <v>13</v>
      </c>
      <c r="AA7" s="125" t="s">
        <v>84</v>
      </c>
      <c r="AB7" s="180" t="s">
        <v>42</v>
      </c>
      <c r="AC7" s="118" t="s">
        <v>68</v>
      </c>
      <c r="AD7" s="118" t="s">
        <v>43</v>
      </c>
      <c r="AE7" s="118" t="s">
        <v>79</v>
      </c>
      <c r="AF7" s="118" t="s">
        <v>45</v>
      </c>
      <c r="AG7" s="108" t="s">
        <v>46</v>
      </c>
      <c r="AH7" s="110" t="s">
        <v>70</v>
      </c>
      <c r="AI7" s="173" t="s">
        <v>71</v>
      </c>
      <c r="AJ7" s="174"/>
      <c r="AK7" s="121"/>
      <c r="AL7" s="175" t="s">
        <v>89</v>
      </c>
      <c r="AM7" s="176"/>
      <c r="AN7" s="177"/>
      <c r="AO7" s="120" t="s">
        <v>88</v>
      </c>
      <c r="AP7" s="121"/>
      <c r="AQ7" s="113" t="s">
        <v>102</v>
      </c>
      <c r="AR7" s="114" t="s">
        <v>81</v>
      </c>
      <c r="AS7" s="114"/>
      <c r="AT7" s="114"/>
      <c r="AU7" s="170" t="s">
        <v>95</v>
      </c>
    </row>
    <row r="8" spans="1:48" ht="15" customHeight="1" thickBot="1" x14ac:dyDescent="0.2">
      <c r="A8" s="146"/>
      <c r="B8" s="147"/>
      <c r="C8" s="149"/>
      <c r="D8" s="16" t="s">
        <v>11</v>
      </c>
      <c r="E8" s="10" t="s">
        <v>17</v>
      </c>
      <c r="F8" s="16" t="s">
        <v>12</v>
      </c>
      <c r="G8" s="10" t="s">
        <v>17</v>
      </c>
      <c r="H8" s="16" t="s">
        <v>13</v>
      </c>
      <c r="I8" s="10" t="s">
        <v>17</v>
      </c>
      <c r="J8" s="147"/>
      <c r="K8" s="149"/>
      <c r="L8" s="124"/>
      <c r="M8" s="124"/>
      <c r="P8" s="119"/>
      <c r="Q8" s="109"/>
      <c r="R8" s="133"/>
      <c r="S8" s="126" t="s">
        <v>36</v>
      </c>
      <c r="T8" s="109" t="s">
        <v>37</v>
      </c>
      <c r="U8" s="111"/>
      <c r="V8" s="126" t="s">
        <v>38</v>
      </c>
      <c r="W8" s="119" t="s">
        <v>39</v>
      </c>
      <c r="X8" s="109" t="s">
        <v>40</v>
      </c>
      <c r="Y8" s="111" t="s">
        <v>41</v>
      </c>
      <c r="Z8" s="111"/>
      <c r="AA8" s="126"/>
      <c r="AB8" s="181" t="s">
        <v>42</v>
      </c>
      <c r="AC8" s="119" t="s">
        <v>43</v>
      </c>
      <c r="AD8" s="119" t="s">
        <v>43</v>
      </c>
      <c r="AE8" s="119" t="s">
        <v>44</v>
      </c>
      <c r="AF8" s="119" t="s">
        <v>45</v>
      </c>
      <c r="AG8" s="109" t="s">
        <v>46</v>
      </c>
      <c r="AH8" s="111" t="s">
        <v>46</v>
      </c>
      <c r="AI8" s="95" t="s">
        <v>86</v>
      </c>
      <c r="AJ8" s="96" t="s">
        <v>85</v>
      </c>
      <c r="AK8" s="86" t="s">
        <v>92</v>
      </c>
      <c r="AL8" s="86" t="s">
        <v>86</v>
      </c>
      <c r="AM8" s="96" t="s">
        <v>85</v>
      </c>
      <c r="AN8" s="86" t="s">
        <v>92</v>
      </c>
      <c r="AO8" s="98" t="s">
        <v>90</v>
      </c>
      <c r="AP8" s="86" t="s">
        <v>92</v>
      </c>
      <c r="AQ8" s="114"/>
      <c r="AR8" s="86" t="s">
        <v>93</v>
      </c>
      <c r="AS8" s="86" t="s">
        <v>94</v>
      </c>
      <c r="AT8" s="86" t="s">
        <v>88</v>
      </c>
      <c r="AU8" s="114"/>
    </row>
    <row r="9" spans="1:48" x14ac:dyDescent="0.15">
      <c r="A9" s="15" t="s">
        <v>2</v>
      </c>
      <c r="B9" s="164"/>
      <c r="C9" s="165"/>
      <c r="D9" s="23"/>
      <c r="E9" s="11" t="s">
        <v>10</v>
      </c>
      <c r="F9" s="23"/>
      <c r="G9" s="11" t="s">
        <v>10</v>
      </c>
      <c r="H9" s="23"/>
      <c r="I9" s="11" t="s">
        <v>10</v>
      </c>
      <c r="J9" s="23"/>
      <c r="K9" s="21" t="s">
        <v>10</v>
      </c>
      <c r="L9" s="26" t="str">
        <f>IF(B9="","",AU9)</f>
        <v/>
      </c>
      <c r="M9" s="3" t="s">
        <v>10</v>
      </c>
      <c r="P9" s="22">
        <f t="shared" ref="P9:P15" si="0">IF(D9&lt;551000,0,IF(AND(D9&gt;=551000,D9&lt;1619000),D9-550000,IF(AND(D9&gt;=1619000,D9&lt;1620000),1069000,IF(AND(D9&gt;=1620000,D9&lt;1622000),1070000,IF(AND(D9&gt;=1622000,D9&lt;1624000),1072000,IF(AND(D9&gt;=1624000,D9&lt;1628000),1074000,0))))))</f>
        <v>0</v>
      </c>
      <c r="Q9" s="35">
        <f t="shared" ref="Q9:Q15" si="1">IF(AND(D9&gt;=1628000,D9&lt;1800000),ROUNDDOWN(D9/4,-3)*2.4+100000,IF(AND(D9&gt;=1800000,D9&lt;3600000),ROUNDDOWN(D9/4,-3)*2.8-80000,IF(AND(D9&gt;=3600000,D9&lt;6600000),ROUNDDOWN(D9/4,-3)*3.2-440000,IF(AND(D9&gt;=6600000,D9&lt;8500000),ROUNDDOWN(D9*0.9-1100000,0),IF(D9&gt;=8500000,ROUNDDOWN(D9-1950000,0),0)))))</f>
        <v>0</v>
      </c>
      <c r="R9" s="36">
        <f>IF(B9="",0,IF(D9&gt;=1628000,Q9,P9))</f>
        <v>0</v>
      </c>
      <c r="S9" s="37">
        <f t="shared" ref="S9:S15" si="2">IF(X9=0,IF(F9&lt;=600000,0,IF(AND(F9&gt;600000,F9&lt;1300000),F9-600000,IF(AND(F9&gt;=1300000,F9&lt;4100000),ROUNDDOWN(F9*0.75-275000,0),IF(AND(F9&gt;=4100000,F9&lt;7700000),ROUNDDOWN(F9*0.85-685000,0),IF(AND(F9&gt;=7700000,F9&lt;10000000),ROUNDDOWN(F9*0.95-1455000,0),IF(F9&gt;=10000000,ROUNDDOWN(F9-1955000,0),0)))))),0)</f>
        <v>0</v>
      </c>
      <c r="T9" s="35">
        <f t="shared" ref="T9:T15" si="3">IF(X9=1,IF(F9&lt;=1100000,0,IF(AND(F9&gt;1100000,F9&lt;3300000),F9-1100000,IF(AND(F9&gt;=3300000,F9&lt;4100000),ROUNDDOWN(F9*0.75-275000,0),IF(AND(F9&gt;=4100000,F9&lt;7700000),ROUNDDOWN(F9*0.85-685000,0),IF(AND(F9&gt;=7700000,F9&lt;10000000),ROUNDDOWN(F9*0.95-1455000,0),IF(F9&gt;=10000000,ROUNDDOWN(F9-1950000,0),0)))))),0)</f>
        <v>0</v>
      </c>
      <c r="U9" s="36">
        <f>IF(B9="",0,IF(OR(B9="加入なし(65歳以上)",B9="65歳以上"),T9,S9))</f>
        <v>0</v>
      </c>
      <c r="V9" s="37">
        <f t="shared" ref="V9:V15" si="4">IF(P9+Q9+S9+T9&gt;0,1,0)</f>
        <v>0</v>
      </c>
      <c r="W9" s="22">
        <f t="shared" ref="W9:W15" si="5">IF(AND(P9+Q9&gt;0,S9+T9&gt;0),1,0)</f>
        <v>0</v>
      </c>
      <c r="X9" s="35">
        <f>IF(OR(B9="加入なし(65歳以上)",B9="65歳以上"),1,0)</f>
        <v>0</v>
      </c>
      <c r="Y9" s="36">
        <f>IF(AND(X9=1,U9&gt;0),MAX(U9-150000,0),U9)</f>
        <v>0</v>
      </c>
      <c r="Z9" s="36">
        <f>IF(B9="",0,H9)</f>
        <v>0</v>
      </c>
      <c r="AA9" s="89">
        <f>IF(B9="",0,J9)</f>
        <v>0</v>
      </c>
      <c r="AB9" s="37">
        <f t="shared" ref="AB9:AB15" si="6">IF(OR(B9="未就学児",B9="39歳以下",B9="40歳～64歳",B9="65歳以上"),1,0)</f>
        <v>0</v>
      </c>
      <c r="AC9" s="22">
        <f t="shared" ref="AC9:AC15" si="7">IF(B9="未就学児",1,0)</f>
        <v>0</v>
      </c>
      <c r="AD9" s="22">
        <f t="shared" ref="AD9:AD15" si="8">IF(B9="40歳～64歳",1,0)</f>
        <v>0</v>
      </c>
      <c r="AE9" s="22">
        <f>IF(AD9=1,AG9,0)</f>
        <v>0</v>
      </c>
      <c r="AF9" s="22">
        <f t="shared" ref="AF9:AF15" si="9">R9+U9+Z9</f>
        <v>0</v>
      </c>
      <c r="AG9" s="35">
        <f t="shared" ref="AG9:AG15" si="10">IF(AF9&gt;430000,IF(W9=1,AF9-430000-IF(R9+U9&gt;=100000,100000,R9+R9),AF9-430000),0)</f>
        <v>0</v>
      </c>
      <c r="AH9" s="36">
        <f t="shared" ref="AH9:AH15" si="11">R9+Y9+Z9</f>
        <v>0</v>
      </c>
      <c r="AI9" s="99">
        <f>IF(OR(B9="加入なし(64歳以下)",B9="加入なし(65歳以上)",B9=""),0,AG9)*AB23/12*A5+IF(OR(B9="加入なし(64歳以下)",B9="加入なし(65歳以上)",B9=""),0,AA9)*AB24/12*A5+IF(OR(B9="加入なし(64歳以下)",B9="加入なし(65歳以上)",B9=""),0,AB25/12*A5)+IF(OR(B9="加入なし(64歳以下)",B9="加入なし(65歳以上)",B9=""),0,AB26/AB16/12*A5)</f>
        <v>0</v>
      </c>
      <c r="AJ9" s="100">
        <f>IF(B9="未就学児",AI9,0)</f>
        <v>0</v>
      </c>
      <c r="AK9" s="101">
        <f>IF($AJ$17&gt;=$AI$17,IF(B9="未就学児",AJ9,AI17-SUM(AK10:AK15)),AI9)</f>
        <v>0</v>
      </c>
      <c r="AL9" s="101">
        <f>IF(OR(B9="加入なし(64歳以下)",B9="加入なし(65歳以上)",B9=""),0,AG9)*AC23/12*$A$5+IF(OR(B9="加入なし(64歳以下)",B9="加入なし(65歳以上)",B9=""),0,AC25/12*$A$5)</f>
        <v>0</v>
      </c>
      <c r="AM9" s="100">
        <f>IF(B9="未就学児",AL9,0)</f>
        <v>0</v>
      </c>
      <c r="AN9" s="101">
        <f>IF($AM$17&gt;=$AL$17,IF(B9="未就学児",AM9,IF($AM$17&gt;=$AC$27,AL17-SUM(AN10:AN15),AL9)),AL9)</f>
        <v>0</v>
      </c>
      <c r="AO9" s="101">
        <f>IF(AD9=0,0,(AE9*$AD$23)/12*$A$5+$AD$25/12*$A$5)</f>
        <v>0</v>
      </c>
      <c r="AP9" s="101">
        <f>IF($AO$16&gt;=$AO$17,AO17-SUM(AP10:AP15),AO9)</f>
        <v>0</v>
      </c>
      <c r="AQ9" s="101">
        <f>AK9+AN9+AP9</f>
        <v>0</v>
      </c>
      <c r="AR9" s="101">
        <f>IF(OR(B9="",B9="加入なし(64歳以下)",B9="加入なし(65歳以上)"),0,IF($AR$6="なし",0,IF($AR$6="2割軽減",-($AB$25*0.2/12*$A$5)-($AB$26*0.2/$AB$16/12*$A$5),IF($AR$6="5割軽減",-($AB$25*0.5/12*$A$5)-($AB$26*0.5/$AB$16/12*$A$5),IF($AR$6="7割軽減",-($AB$25*0.7/12*$A$5)-($AB$26*0.7/$AB$16/12*$A$5))))))</f>
        <v>0</v>
      </c>
      <c r="AS9" s="101">
        <f>IF(OR(B9="",B9="加入なし(64歳以下)",B9="加入なし(65歳以上)"),0,IF($AR$6="なし",0,IF($AR$6="2割軽減",-($AC$25*0.2/12*$A$5),IF($AR$6="5割軽減",-($AC$25*0.5/12*$A$5),IF($AR$6="7割軽減",-($AC$25*0.7/12*$A$5))))))</f>
        <v>0</v>
      </c>
      <c r="AT9" s="101">
        <f>IF(AD9=0,0,IF($AR$6="なし",0,IF($AR$6="2割軽減",-($AD$25*0.2),IF($AR$6="5割軽減",-($AD$25*0.5),IF($AR$6="7割軽減",-($AD$25*0.7))))))</f>
        <v>0</v>
      </c>
      <c r="AU9" s="101">
        <f>IF(OR(B9="",B9="加入なし(64歳以下)",B9="加入なし(65歳以上)"),0,AQ9+SUM(AR9:AT9))</f>
        <v>0</v>
      </c>
      <c r="AV9" s="106"/>
    </row>
    <row r="10" spans="1:48" ht="14.25" customHeight="1" x14ac:dyDescent="0.15">
      <c r="A10" s="15" t="s">
        <v>3</v>
      </c>
      <c r="B10" s="139"/>
      <c r="C10" s="140"/>
      <c r="D10" s="24"/>
      <c r="E10" s="3" t="s">
        <v>10</v>
      </c>
      <c r="F10" s="24"/>
      <c r="G10" s="3" t="s">
        <v>10</v>
      </c>
      <c r="H10" s="24"/>
      <c r="I10" s="3" t="s">
        <v>10</v>
      </c>
      <c r="J10" s="24"/>
      <c r="K10" s="7" t="s">
        <v>10</v>
      </c>
      <c r="L10" s="26" t="str">
        <f>IF(B10="","",AU10)</f>
        <v/>
      </c>
      <c r="M10" s="3" t="s">
        <v>10</v>
      </c>
      <c r="P10" s="22">
        <f t="shared" si="0"/>
        <v>0</v>
      </c>
      <c r="Q10" s="35">
        <f t="shared" si="1"/>
        <v>0</v>
      </c>
      <c r="R10" s="36">
        <f>IF(B10="",0,IF(D10&gt;=1628000,Q10,P10))</f>
        <v>0</v>
      </c>
      <c r="S10" s="37">
        <f t="shared" si="2"/>
        <v>0</v>
      </c>
      <c r="T10" s="35">
        <f t="shared" si="3"/>
        <v>0</v>
      </c>
      <c r="U10" s="36">
        <f>IF(B10="",0,IF(B10="65歳以上",T10,S10))</f>
        <v>0</v>
      </c>
      <c r="V10" s="37">
        <f t="shared" si="4"/>
        <v>0</v>
      </c>
      <c r="W10" s="22">
        <f t="shared" si="5"/>
        <v>0</v>
      </c>
      <c r="X10" s="35">
        <f t="shared" ref="X10:X15" si="12">IF(B10="65歳以上",1,0)</f>
        <v>0</v>
      </c>
      <c r="Y10" s="36">
        <f t="shared" ref="Y10:Y15" si="13">IF(AND(X10=1,U10&gt;0),MAX(U10-150000,0),U10)</f>
        <v>0</v>
      </c>
      <c r="Z10" s="36">
        <f t="shared" ref="Z10:Z15" si="14">IF(B10="",0,H10)</f>
        <v>0</v>
      </c>
      <c r="AA10" s="89">
        <f t="shared" ref="AA10:AA15" si="15">IF(B10="",0,J10)</f>
        <v>0</v>
      </c>
      <c r="AB10" s="37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ref="AE10:AE15" si="16">IF(AD10=1,AG10,0)</f>
        <v>0</v>
      </c>
      <c r="AF10" s="22">
        <f t="shared" si="9"/>
        <v>0</v>
      </c>
      <c r="AG10" s="35">
        <f t="shared" si="10"/>
        <v>0</v>
      </c>
      <c r="AH10" s="36">
        <f t="shared" si="11"/>
        <v>0</v>
      </c>
      <c r="AI10" s="99">
        <f t="shared" ref="AI10:AI15" si="17">IF(B10="",0,(AG10*$AB$23)/12*$A$5+(AA10*$AB$24+$AB$25)/12*$A$5+($AB$26/$AB$16)/12*$A$5)</f>
        <v>0</v>
      </c>
      <c r="AJ10" s="100">
        <f>IF(B10="未就学児",AI10,0)</f>
        <v>0</v>
      </c>
      <c r="AK10" s="101">
        <f>IF($AJ$17&gt;=$AI$17,IF(B10="未就学児",AJ10,IF(AI10=0,0,IF(22000&gt;=(AI10*($AI$17-$AJ$16)/$AJ$17),AI10,(AI10*($AI$17-$AJ$16)/$AJ$17)))),AI10)</f>
        <v>0</v>
      </c>
      <c r="AL10" s="101">
        <f>IF(B10="",0,(AG10*$AC$23)/12*$A$5+$AC$25/12*$A$5)</f>
        <v>0</v>
      </c>
      <c r="AM10" s="100">
        <f t="shared" ref="AM10:AM15" si="18">IF(B10="未就学児",AL10,0)</f>
        <v>0</v>
      </c>
      <c r="AN10" s="101">
        <f t="shared" ref="AN10:AN11" si="19">IF($AM$17&gt;=$AL$17,IF(B10="未就学児",AM10,IF(AL10=0,0,IF(12000&gt;=(AL10*($AL$17-$AM$16)/$AM$17),AL10,(AL10*($AL$17-$AM$16)/$AM$17)))),AL10)</f>
        <v>0</v>
      </c>
      <c r="AO10" s="101">
        <f>IF(AD10=0,0,(AE10*$AD$23)/12*$A$5+$AD$25/12*$A$5)</f>
        <v>0</v>
      </c>
      <c r="AP10" s="101">
        <f>IF($AO$16&gt;=$AO$17,IF(AO10=0,0,IF(12000&gt;=(AO10*($AO$17/$AO$16)),AO10,AO10*($AO$17/$AO$16))),AO10)</f>
        <v>0</v>
      </c>
      <c r="AQ10" s="101">
        <f t="shared" ref="AQ10:AQ15" si="20">AK10+AN10+AP10</f>
        <v>0</v>
      </c>
      <c r="AR10" s="101">
        <f>IF(B10="",0,IF($AR$6="なし",IF(AC10=1,-($AB$25*0.5)/12*$A$5,0),IF($AR$6="2割軽減",IF(AC10=1,-($AB$25*0.6)/12*$A$5-($AB$26*0.2/$AB$16/12*$A$5),-($AB$25*0.2+$AB$26*0.2/$AB$16)/12*$A$5),IF($AR$6="5割軽減",IF(AC10=1,-($AB$25*0.75+$AB$26*0.5/$AB$16)/12*$A$5,-($AB$25*0.5+$AB$26*0.5/$AB$16)/12*$A$5),IF($AR$6="7割軽減",IF(AC10=1,-($AB$25*0.85+$AB$26*0.7/$AB$16)/12*$A$5,-($AB$25*0.7+$AB$26*0.7/$AB$16)/12*$A$5))))))</f>
        <v>0</v>
      </c>
      <c r="AS10" s="101">
        <f t="shared" ref="AS10:AS15" si="21">IF(B10="",0,IF($AR$6="なし",IF(AC10=1,-($V$21/12*$A$5),0),IF($AR$6="2割軽減",IF(AC10=1,-($V$21*1.2/12*$A$5),-($AC$25*0.2/12*$A$5)),IF($AR$6="5割軽減",IF(AC10=1,-($V$21*1.5/12*$A$5),-($AC$25*0.5/12*$A$5)),IF($AR$6="7割軽減",IF(AC10=1,-($V$21*1.7/12*$A$5),-($AC$25*0.7/12*$A$5)))))))</f>
        <v>0</v>
      </c>
      <c r="AT10" s="101">
        <f>IF(AD10=0,0,IF($AR$6="なし",0,IF($AR$6="2割軽減",-($AD$25*0.2/12*$A$5),IF($AR$6="5割軽減",-($AD$25*0.5/12*$A$5),IF($AR$6="7割軽減",-($AD$25*0.7/12*$A$5))))))</f>
        <v>0</v>
      </c>
      <c r="AU10" s="101">
        <f>AQ10+SUM(AR10:AT10)</f>
        <v>0</v>
      </c>
      <c r="AV10" s="106"/>
    </row>
    <row r="11" spans="1:48" x14ac:dyDescent="0.15">
      <c r="A11" s="15" t="s">
        <v>4</v>
      </c>
      <c r="B11" s="139"/>
      <c r="C11" s="140"/>
      <c r="D11" s="24"/>
      <c r="E11" s="3" t="s">
        <v>10</v>
      </c>
      <c r="F11" s="24"/>
      <c r="G11" s="3" t="s">
        <v>10</v>
      </c>
      <c r="H11" s="24"/>
      <c r="I11" s="3" t="s">
        <v>10</v>
      </c>
      <c r="J11" s="24"/>
      <c r="K11" s="7" t="s">
        <v>10</v>
      </c>
      <c r="L11" s="26" t="str">
        <f t="shared" ref="L11:L15" si="22">IF(B11="","",AU11)</f>
        <v/>
      </c>
      <c r="M11" s="3" t="s">
        <v>10</v>
      </c>
      <c r="P11" s="22">
        <f t="shared" si="0"/>
        <v>0</v>
      </c>
      <c r="Q11" s="35">
        <f t="shared" si="1"/>
        <v>0</v>
      </c>
      <c r="R11" s="36">
        <f t="shared" ref="R11:R14" si="23">IF(B11="",0,IF(D11&gt;=1628000,Q11,P11))</f>
        <v>0</v>
      </c>
      <c r="S11" s="37">
        <f t="shared" si="2"/>
        <v>0</v>
      </c>
      <c r="T11" s="35">
        <f t="shared" si="3"/>
        <v>0</v>
      </c>
      <c r="U11" s="36">
        <f t="shared" ref="U11:U15" si="24">IF(B11="",0,IF(B11="65歳以上",T11,S11))</f>
        <v>0</v>
      </c>
      <c r="V11" s="37">
        <f t="shared" si="4"/>
        <v>0</v>
      </c>
      <c r="W11" s="22">
        <f t="shared" si="5"/>
        <v>0</v>
      </c>
      <c r="X11" s="35">
        <f t="shared" si="12"/>
        <v>0</v>
      </c>
      <c r="Y11" s="36">
        <f t="shared" si="13"/>
        <v>0</v>
      </c>
      <c r="Z11" s="36">
        <f t="shared" si="14"/>
        <v>0</v>
      </c>
      <c r="AA11" s="89">
        <f t="shared" si="15"/>
        <v>0</v>
      </c>
      <c r="AB11" s="37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16"/>
        <v>0</v>
      </c>
      <c r="AF11" s="22">
        <f t="shared" si="9"/>
        <v>0</v>
      </c>
      <c r="AG11" s="35">
        <f t="shared" si="10"/>
        <v>0</v>
      </c>
      <c r="AH11" s="36">
        <f t="shared" si="11"/>
        <v>0</v>
      </c>
      <c r="AI11" s="99">
        <f t="shared" si="17"/>
        <v>0</v>
      </c>
      <c r="AJ11" s="100">
        <f>IF(B11="未就学児",AI11,0)</f>
        <v>0</v>
      </c>
      <c r="AK11" s="101">
        <f t="shared" ref="AK11:AK15" si="25">IF($AJ$17&gt;=$AI$17,IF(B11="未就学児",AJ11,IF(AI11=0,0,IF(22000&gt;=(AI11*($AI$17-$AJ$16)/$AJ$17),AI11,(AI11*($AI$17-$AJ$16)/$AJ$17)))),AI11)</f>
        <v>0</v>
      </c>
      <c r="AL11" s="101">
        <f t="shared" ref="AL11:AL15" si="26">IF(B11="",0,(AG11*$AC$23)/12*$A$5+$AC$25/12*$A$5)</f>
        <v>0</v>
      </c>
      <c r="AM11" s="100">
        <f t="shared" si="18"/>
        <v>0</v>
      </c>
      <c r="AN11" s="101">
        <f t="shared" si="19"/>
        <v>0</v>
      </c>
      <c r="AO11" s="101">
        <f t="shared" ref="AO11:AO15" si="27">IF(AD11=0,0,(AE11*$AD$23)/12*$A$5+$AD$25/12*$A$5)</f>
        <v>0</v>
      </c>
      <c r="AP11" s="101">
        <f t="shared" ref="AP11:AP15" si="28">IF($AO$16&gt;=$AO$17,IF(AO11=0,0,IF(12000&gt;=(AO11*($AO$17/$AO$16)),AO11,AO11*($AO$17/$AO$16))),AO11)</f>
        <v>0</v>
      </c>
      <c r="AQ11" s="101">
        <f t="shared" si="20"/>
        <v>0</v>
      </c>
      <c r="AR11" s="101">
        <f t="shared" ref="AR11:AR15" si="29">IF(B11="",0,IF($AR$6="なし",IF(AC11=1,-($AB$25*0.5)/12*$A$5,0),IF($AR$6="2割軽減",IF(AC11=1,-($AB$25*0.6)/12*$A$5-($AB$26*0.2/$AB$16/12*$A$5),-($AB$25*0.2+$AB$26*0.2/$AB$16)/12*$A$5),IF($AR$6="5割軽減",IF(AC11=1,-($AB$25*0.75+$AB$26*0.5/$AB$16)/12*$A$5,-($AB$25*0.5+$AB$26*0.5/$AB$16)/12*$A$5),IF($AR$6="7割軽減",IF(AC11=1,-($AB$25*0.85+$AB$26*0.7/$AB$16)/12*$A$5,-($AB$25*0.7+$AB$26*0.7/$AB$16)/12*$A$5))))))</f>
        <v>0</v>
      </c>
      <c r="AS11" s="101">
        <f t="shared" si="21"/>
        <v>0</v>
      </c>
      <c r="AT11" s="101">
        <f t="shared" ref="AT11:AT15" si="30">IF(AD11=0,0,IF($AR$6="なし",0,IF($AR$6="2割軽減",-($AD$25*0.2/12*$A$5),IF($AR$6="5割軽減",-($AD$25*0.5/12*$A$5),IF($AR$6="7割軽減",-($AD$25*0.7/12*$A$5))))))</f>
        <v>0</v>
      </c>
      <c r="AU11" s="101">
        <f>AQ11+SUM(AR11:AT11)</f>
        <v>0</v>
      </c>
      <c r="AV11" s="106"/>
    </row>
    <row r="12" spans="1:48" x14ac:dyDescent="0.15">
      <c r="A12" s="15" t="s">
        <v>5</v>
      </c>
      <c r="B12" s="139"/>
      <c r="C12" s="140"/>
      <c r="D12" s="24"/>
      <c r="E12" s="3" t="s">
        <v>10</v>
      </c>
      <c r="F12" s="24"/>
      <c r="G12" s="3" t="s">
        <v>10</v>
      </c>
      <c r="H12" s="24"/>
      <c r="I12" s="3" t="s">
        <v>10</v>
      </c>
      <c r="J12" s="24"/>
      <c r="K12" s="7" t="s">
        <v>10</v>
      </c>
      <c r="L12" s="26" t="str">
        <f t="shared" si="22"/>
        <v/>
      </c>
      <c r="M12" s="3" t="s">
        <v>10</v>
      </c>
      <c r="P12" s="22">
        <f t="shared" si="0"/>
        <v>0</v>
      </c>
      <c r="Q12" s="35">
        <f t="shared" si="1"/>
        <v>0</v>
      </c>
      <c r="R12" s="36">
        <f t="shared" si="23"/>
        <v>0</v>
      </c>
      <c r="S12" s="37">
        <f t="shared" si="2"/>
        <v>0</v>
      </c>
      <c r="T12" s="35">
        <f t="shared" si="3"/>
        <v>0</v>
      </c>
      <c r="U12" s="36">
        <f t="shared" si="24"/>
        <v>0</v>
      </c>
      <c r="V12" s="37">
        <f t="shared" si="4"/>
        <v>0</v>
      </c>
      <c r="W12" s="22">
        <f t="shared" si="5"/>
        <v>0</v>
      </c>
      <c r="X12" s="35">
        <f t="shared" si="12"/>
        <v>0</v>
      </c>
      <c r="Y12" s="36">
        <f t="shared" si="13"/>
        <v>0</v>
      </c>
      <c r="Z12" s="36">
        <f t="shared" si="14"/>
        <v>0</v>
      </c>
      <c r="AA12" s="89">
        <f t="shared" si="15"/>
        <v>0</v>
      </c>
      <c r="AB12" s="37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16"/>
        <v>0</v>
      </c>
      <c r="AF12" s="22">
        <f t="shared" si="9"/>
        <v>0</v>
      </c>
      <c r="AG12" s="35">
        <f t="shared" si="10"/>
        <v>0</v>
      </c>
      <c r="AH12" s="36">
        <f t="shared" si="11"/>
        <v>0</v>
      </c>
      <c r="AI12" s="99">
        <f>IF(B12="",0,(AG12*$AB$23)/12*$A$5+(AA12*$AB$24+$AB$25)/12*$A$5+($AB$26/$AB$16)/12*$A$5)</f>
        <v>0</v>
      </c>
      <c r="AJ12" s="100">
        <f t="shared" ref="AJ12:AJ15" si="31">IF(B12="未就学児",AI12,0)</f>
        <v>0</v>
      </c>
      <c r="AK12" s="101">
        <f t="shared" si="25"/>
        <v>0</v>
      </c>
      <c r="AL12" s="101">
        <f t="shared" si="26"/>
        <v>0</v>
      </c>
      <c r="AM12" s="100">
        <f t="shared" si="18"/>
        <v>0</v>
      </c>
      <c r="AN12" s="101">
        <f>IF($AM$17&gt;=$AL$17,IF(B12="未就学児",AM12,IF(AL12=0,0,IF(12000&gt;=(AL12*($AL$17-$AM$16)/$AM$17),AL12,(AL12*($AL$17-$AM$16)/$AM$17)))),AL12)</f>
        <v>0</v>
      </c>
      <c r="AO12" s="101">
        <f t="shared" si="27"/>
        <v>0</v>
      </c>
      <c r="AP12" s="101">
        <f t="shared" si="28"/>
        <v>0</v>
      </c>
      <c r="AQ12" s="101">
        <f t="shared" si="20"/>
        <v>0</v>
      </c>
      <c r="AR12" s="101">
        <f t="shared" si="29"/>
        <v>0</v>
      </c>
      <c r="AS12" s="101">
        <f t="shared" si="21"/>
        <v>0</v>
      </c>
      <c r="AT12" s="101">
        <f t="shared" si="30"/>
        <v>0</v>
      </c>
      <c r="AU12" s="101">
        <f>AQ12+SUM(AR12:AT12)</f>
        <v>0</v>
      </c>
      <c r="AV12" s="106"/>
    </row>
    <row r="13" spans="1:48" x14ac:dyDescent="0.15">
      <c r="A13" s="15" t="s">
        <v>6</v>
      </c>
      <c r="B13" s="139"/>
      <c r="C13" s="140"/>
      <c r="D13" s="24"/>
      <c r="E13" s="3" t="s">
        <v>10</v>
      </c>
      <c r="F13" s="24"/>
      <c r="G13" s="3" t="s">
        <v>10</v>
      </c>
      <c r="H13" s="24"/>
      <c r="I13" s="3" t="s">
        <v>10</v>
      </c>
      <c r="J13" s="24"/>
      <c r="K13" s="7" t="s">
        <v>10</v>
      </c>
      <c r="L13" s="26" t="str">
        <f t="shared" si="22"/>
        <v/>
      </c>
      <c r="M13" s="3" t="s">
        <v>10</v>
      </c>
      <c r="P13" s="22">
        <f t="shared" si="0"/>
        <v>0</v>
      </c>
      <c r="Q13" s="35">
        <f t="shared" si="1"/>
        <v>0</v>
      </c>
      <c r="R13" s="36">
        <f t="shared" si="23"/>
        <v>0</v>
      </c>
      <c r="S13" s="37">
        <f t="shared" si="2"/>
        <v>0</v>
      </c>
      <c r="T13" s="35">
        <f t="shared" si="3"/>
        <v>0</v>
      </c>
      <c r="U13" s="36">
        <f t="shared" si="24"/>
        <v>0</v>
      </c>
      <c r="V13" s="37">
        <f t="shared" si="4"/>
        <v>0</v>
      </c>
      <c r="W13" s="22">
        <f t="shared" si="5"/>
        <v>0</v>
      </c>
      <c r="X13" s="35">
        <f t="shared" si="12"/>
        <v>0</v>
      </c>
      <c r="Y13" s="36">
        <f t="shared" si="13"/>
        <v>0</v>
      </c>
      <c r="Z13" s="36">
        <f t="shared" si="14"/>
        <v>0</v>
      </c>
      <c r="AA13" s="89">
        <f t="shared" si="15"/>
        <v>0</v>
      </c>
      <c r="AB13" s="37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16"/>
        <v>0</v>
      </c>
      <c r="AF13" s="22">
        <f t="shared" si="9"/>
        <v>0</v>
      </c>
      <c r="AG13" s="35">
        <f t="shared" si="10"/>
        <v>0</v>
      </c>
      <c r="AH13" s="36">
        <f t="shared" si="11"/>
        <v>0</v>
      </c>
      <c r="AI13" s="99">
        <f t="shared" si="17"/>
        <v>0</v>
      </c>
      <c r="AJ13" s="100">
        <f t="shared" si="31"/>
        <v>0</v>
      </c>
      <c r="AK13" s="101">
        <f t="shared" si="25"/>
        <v>0</v>
      </c>
      <c r="AL13" s="101">
        <f t="shared" si="26"/>
        <v>0</v>
      </c>
      <c r="AM13" s="100">
        <f t="shared" si="18"/>
        <v>0</v>
      </c>
      <c r="AN13" s="101">
        <f>IF($AM$17&gt;=$AL$17,IF(B13="未就学児",AM13,IF(AL13=0,0,IF(12000&gt;=(AL13*($AL$17-$AM$16)/$AM$17),AL13,(AL13*($AL$17-$AM$16)/$AM$17)))),AL13)</f>
        <v>0</v>
      </c>
      <c r="AO13" s="101">
        <f t="shared" si="27"/>
        <v>0</v>
      </c>
      <c r="AP13" s="101">
        <f t="shared" si="28"/>
        <v>0</v>
      </c>
      <c r="AQ13" s="101">
        <f t="shared" si="20"/>
        <v>0</v>
      </c>
      <c r="AR13" s="101">
        <f>IF(B13="",0,IF($AR$6="なし",IF(AC13=1,-($AB$25*0.5)/12*$A$5,0),IF($AR$6="2割軽減",IF(AC13=1,-($AB$25*0.6)/12*$A$5-($AB$26*0.2/$AB$16/12*$A$5),-($AB$25*0.2+$AB$26*0.2/$AB$16)/12*$A$5),IF($AR$6="5割軽減",IF(AC13=1,-($AB$25*0.75+$AB$26*0.5/$AB$16)/12*$A$5,-($AB$25*0.5+$AB$26*0.5/$AB$16)/12*$A$5),IF($AR$6="7割軽減",IF(AC13=1,-($AB$25*0.85+$AB$26*0.7/$AB$16)/12*$A$5,-($AB$25*0.7+$AB$26*0.7/$AB$16)/12*$A$5))))))</f>
        <v>0</v>
      </c>
      <c r="AS13" s="101">
        <f t="shared" si="21"/>
        <v>0</v>
      </c>
      <c r="AT13" s="101">
        <f t="shared" si="30"/>
        <v>0</v>
      </c>
      <c r="AU13" s="101">
        <f t="shared" ref="AU13:AU15" si="32">AQ13+SUM(AR13:AT13)</f>
        <v>0</v>
      </c>
      <c r="AV13" s="106"/>
    </row>
    <row r="14" spans="1:48" x14ac:dyDescent="0.15">
      <c r="A14" s="15" t="s">
        <v>7</v>
      </c>
      <c r="B14" s="139"/>
      <c r="C14" s="140"/>
      <c r="D14" s="24"/>
      <c r="E14" s="3" t="s">
        <v>10</v>
      </c>
      <c r="F14" s="24"/>
      <c r="G14" s="3" t="s">
        <v>10</v>
      </c>
      <c r="H14" s="24"/>
      <c r="I14" s="3" t="s">
        <v>10</v>
      </c>
      <c r="J14" s="24"/>
      <c r="K14" s="7" t="s">
        <v>10</v>
      </c>
      <c r="L14" s="26" t="str">
        <f t="shared" si="22"/>
        <v/>
      </c>
      <c r="M14" s="3" t="s">
        <v>10</v>
      </c>
      <c r="P14" s="22">
        <f t="shared" si="0"/>
        <v>0</v>
      </c>
      <c r="Q14" s="35">
        <f t="shared" si="1"/>
        <v>0</v>
      </c>
      <c r="R14" s="36">
        <f t="shared" si="23"/>
        <v>0</v>
      </c>
      <c r="S14" s="37">
        <f t="shared" si="2"/>
        <v>0</v>
      </c>
      <c r="T14" s="35">
        <f t="shared" si="3"/>
        <v>0</v>
      </c>
      <c r="U14" s="36">
        <f t="shared" si="24"/>
        <v>0</v>
      </c>
      <c r="V14" s="37">
        <f t="shared" si="4"/>
        <v>0</v>
      </c>
      <c r="W14" s="22">
        <f t="shared" si="5"/>
        <v>0</v>
      </c>
      <c r="X14" s="35">
        <f t="shared" si="12"/>
        <v>0</v>
      </c>
      <c r="Y14" s="36">
        <f t="shared" si="13"/>
        <v>0</v>
      </c>
      <c r="Z14" s="36">
        <f t="shared" si="14"/>
        <v>0</v>
      </c>
      <c r="AA14" s="89">
        <f t="shared" si="15"/>
        <v>0</v>
      </c>
      <c r="AB14" s="37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16"/>
        <v>0</v>
      </c>
      <c r="AF14" s="22">
        <f t="shared" si="9"/>
        <v>0</v>
      </c>
      <c r="AG14" s="35">
        <f t="shared" si="10"/>
        <v>0</v>
      </c>
      <c r="AH14" s="36">
        <f t="shared" si="11"/>
        <v>0</v>
      </c>
      <c r="AI14" s="99">
        <f t="shared" si="17"/>
        <v>0</v>
      </c>
      <c r="AJ14" s="100">
        <f t="shared" si="31"/>
        <v>0</v>
      </c>
      <c r="AK14" s="101">
        <f t="shared" si="25"/>
        <v>0</v>
      </c>
      <c r="AL14" s="101">
        <f t="shared" si="26"/>
        <v>0</v>
      </c>
      <c r="AM14" s="100">
        <f t="shared" si="18"/>
        <v>0</v>
      </c>
      <c r="AN14" s="101">
        <f t="shared" ref="AN14:AN15" si="33">IF($AM$17&gt;=$AL$17,IF(B14="未就学児",AM14,IF(AL14=0,0,IF(12000&gt;=(AL14*($AL$17-$AM$16)/$AM$17),AL14,(AL14*($AL$17-$AM$16)/$AM$17)))),AL14)</f>
        <v>0</v>
      </c>
      <c r="AO14" s="101">
        <f t="shared" si="27"/>
        <v>0</v>
      </c>
      <c r="AP14" s="101">
        <f t="shared" si="28"/>
        <v>0</v>
      </c>
      <c r="AQ14" s="101">
        <f t="shared" si="20"/>
        <v>0</v>
      </c>
      <c r="AR14" s="101">
        <f t="shared" si="29"/>
        <v>0</v>
      </c>
      <c r="AS14" s="101">
        <f t="shared" si="21"/>
        <v>0</v>
      </c>
      <c r="AT14" s="101">
        <f t="shared" si="30"/>
        <v>0</v>
      </c>
      <c r="AU14" s="101">
        <f t="shared" si="32"/>
        <v>0</v>
      </c>
      <c r="AV14" s="106"/>
    </row>
    <row r="15" spans="1:48" ht="15" thickBot="1" x14ac:dyDescent="0.2">
      <c r="A15" s="15" t="s">
        <v>8</v>
      </c>
      <c r="B15" s="166"/>
      <c r="C15" s="167"/>
      <c r="D15" s="25"/>
      <c r="E15" s="8" t="s">
        <v>10</v>
      </c>
      <c r="F15" s="25"/>
      <c r="G15" s="8" t="s">
        <v>10</v>
      </c>
      <c r="H15" s="25"/>
      <c r="I15" s="8" t="s">
        <v>10</v>
      </c>
      <c r="J15" s="25"/>
      <c r="K15" s="9" t="s">
        <v>10</v>
      </c>
      <c r="L15" s="26" t="str">
        <f t="shared" si="22"/>
        <v/>
      </c>
      <c r="M15" s="3" t="s">
        <v>10</v>
      </c>
      <c r="P15" s="22">
        <f t="shared" si="0"/>
        <v>0</v>
      </c>
      <c r="Q15" s="35">
        <f t="shared" si="1"/>
        <v>0</v>
      </c>
      <c r="R15" s="36">
        <f>IF(B15="",0,IF(D15&gt;=1628000,Q15,P15))</f>
        <v>0</v>
      </c>
      <c r="S15" s="37">
        <f t="shared" si="2"/>
        <v>0</v>
      </c>
      <c r="T15" s="35">
        <f t="shared" si="3"/>
        <v>0</v>
      </c>
      <c r="U15" s="36">
        <f t="shared" si="24"/>
        <v>0</v>
      </c>
      <c r="V15" s="37">
        <f t="shared" si="4"/>
        <v>0</v>
      </c>
      <c r="W15" s="22">
        <f t="shared" si="5"/>
        <v>0</v>
      </c>
      <c r="X15" s="35">
        <f t="shared" si="12"/>
        <v>0</v>
      </c>
      <c r="Y15" s="36">
        <f t="shared" si="13"/>
        <v>0</v>
      </c>
      <c r="Z15" s="36">
        <f t="shared" si="14"/>
        <v>0</v>
      </c>
      <c r="AA15" s="89">
        <f t="shared" si="15"/>
        <v>0</v>
      </c>
      <c r="AB15" s="37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16"/>
        <v>0</v>
      </c>
      <c r="AF15" s="22">
        <f t="shared" si="9"/>
        <v>0</v>
      </c>
      <c r="AG15" s="35">
        <f t="shared" si="10"/>
        <v>0</v>
      </c>
      <c r="AH15" s="36">
        <f t="shared" si="11"/>
        <v>0</v>
      </c>
      <c r="AI15" s="99">
        <f t="shared" si="17"/>
        <v>0</v>
      </c>
      <c r="AJ15" s="100">
        <f t="shared" si="31"/>
        <v>0</v>
      </c>
      <c r="AK15" s="101">
        <f t="shared" si="25"/>
        <v>0</v>
      </c>
      <c r="AL15" s="101">
        <f t="shared" si="26"/>
        <v>0</v>
      </c>
      <c r="AM15" s="100">
        <f t="shared" si="18"/>
        <v>0</v>
      </c>
      <c r="AN15" s="101">
        <f t="shared" si="33"/>
        <v>0</v>
      </c>
      <c r="AO15" s="101">
        <f t="shared" si="27"/>
        <v>0</v>
      </c>
      <c r="AP15" s="101">
        <f t="shared" si="28"/>
        <v>0</v>
      </c>
      <c r="AQ15" s="101">
        <f t="shared" si="20"/>
        <v>0</v>
      </c>
      <c r="AR15" s="101">
        <f t="shared" si="29"/>
        <v>0</v>
      </c>
      <c r="AS15" s="101">
        <f t="shared" si="21"/>
        <v>0</v>
      </c>
      <c r="AT15" s="101">
        <f t="shared" si="30"/>
        <v>0</v>
      </c>
      <c r="AU15" s="101">
        <f t="shared" si="32"/>
        <v>0</v>
      </c>
      <c r="AV15" s="106"/>
    </row>
    <row r="16" spans="1:48" ht="21" customHeight="1" thickBot="1" x14ac:dyDescent="0.2">
      <c r="A16" s="6" t="s">
        <v>96</v>
      </c>
      <c r="B16" s="6"/>
      <c r="C16" s="6"/>
      <c r="D16" s="6"/>
      <c r="E16" s="6"/>
      <c r="F16" s="6"/>
      <c r="G16" s="6"/>
      <c r="H16" s="6"/>
      <c r="I16" s="134" t="s">
        <v>100</v>
      </c>
      <c r="J16" s="135"/>
      <c r="K16" s="135"/>
      <c r="L16" s="135"/>
      <c r="M16" s="135"/>
      <c r="O16" s="42" t="s">
        <v>25</v>
      </c>
      <c r="P16" s="31"/>
      <c r="Q16" s="31"/>
      <c r="R16" s="64">
        <f>SUM(R9:R15)</f>
        <v>0</v>
      </c>
      <c r="S16" s="31"/>
      <c r="T16" s="31"/>
      <c r="U16" s="64">
        <f>SUM(U9:U15)</f>
        <v>0</v>
      </c>
      <c r="V16" s="39">
        <f>SUM(V9:V15)</f>
        <v>0</v>
      </c>
      <c r="W16" s="40"/>
      <c r="X16" s="31"/>
      <c r="Y16" s="65">
        <f>SUM(Y9:Y15)</f>
        <v>0</v>
      </c>
      <c r="Z16" s="64">
        <f>SUM(Z9:Z15)</f>
        <v>0</v>
      </c>
      <c r="AA16" s="90">
        <f>IF(OR(B9="加入なし(64歳以下)",B9="加入なし(65歳以上)",B9=""),SUM(AA10:AA15),SUM(AA9:AA15))</f>
        <v>0</v>
      </c>
      <c r="AB16" s="78">
        <f>AB9+AB10+AB11+AB12+AB13+AB14+AB15</f>
        <v>0</v>
      </c>
      <c r="AC16" s="38">
        <f>AC9+AC10+AC11+AC12+AC13+AC14+AC15</f>
        <v>0</v>
      </c>
      <c r="AD16" s="79">
        <f>AD9+AD10+AD11+AD12+AD13+AD14+AD15</f>
        <v>0</v>
      </c>
      <c r="AE16" s="76">
        <f>AE9+AE10+AE11+AE12+AE13+AE14+AE15</f>
        <v>0</v>
      </c>
      <c r="AF16" s="39">
        <f t="shared" ref="AF16:AG16" si="34">AF9+AF10+AF11+AF12+AF13+AF14+AF15</f>
        <v>0</v>
      </c>
      <c r="AG16" s="66">
        <f t="shared" si="34"/>
        <v>0</v>
      </c>
      <c r="AH16" s="82">
        <f t="shared" ref="AH16:AP16" si="35">SUM(AH9:AH15)</f>
        <v>0</v>
      </c>
      <c r="AI16" s="99">
        <f t="shared" si="35"/>
        <v>0</v>
      </c>
      <c r="AJ16" s="101">
        <f t="shared" si="35"/>
        <v>0</v>
      </c>
      <c r="AK16" s="101">
        <f t="shared" si="35"/>
        <v>0</v>
      </c>
      <c r="AL16" s="101">
        <f t="shared" si="35"/>
        <v>0</v>
      </c>
      <c r="AM16" s="101">
        <f t="shared" si="35"/>
        <v>0</v>
      </c>
      <c r="AN16" s="101">
        <f t="shared" si="35"/>
        <v>0</v>
      </c>
      <c r="AO16" s="101">
        <f t="shared" si="35"/>
        <v>0</v>
      </c>
      <c r="AP16" s="101">
        <f t="shared" si="35"/>
        <v>0</v>
      </c>
      <c r="AQ16" s="101">
        <f>SUM(AQ9:AQ15)</f>
        <v>0</v>
      </c>
      <c r="AR16" s="101">
        <f>SUM(AR9:AR15)</f>
        <v>0</v>
      </c>
      <c r="AS16" s="101">
        <f t="shared" ref="AS16:AT16" si="36">SUM(AS9:AS15)</f>
        <v>0</v>
      </c>
      <c r="AT16" s="101">
        <f t="shared" si="36"/>
        <v>0</v>
      </c>
      <c r="AU16" s="101">
        <f>SUM(AU9:AU15)</f>
        <v>0</v>
      </c>
      <c r="AV16" s="106"/>
    </row>
    <row r="17" spans="1:46" s="6" customFormat="1" ht="21" customHeight="1" thickBot="1" x14ac:dyDescent="0.2">
      <c r="A17" s="142" t="str">
        <f>IF(A5="","",AG28)</f>
        <v/>
      </c>
      <c r="B17" s="143"/>
      <c r="C17" s="2" t="s">
        <v>10</v>
      </c>
      <c r="D17"/>
      <c r="E17" s="169" t="s">
        <v>97</v>
      </c>
      <c r="F17" s="169"/>
      <c r="G17" s="168" t="str">
        <f>IF(A5="","",A17/A5)</f>
        <v/>
      </c>
      <c r="H17" s="168"/>
      <c r="I17" s="1" t="s">
        <v>10</v>
      </c>
      <c r="J17" s="178" t="s">
        <v>98</v>
      </c>
      <c r="K17" s="179"/>
      <c r="L17" s="81" t="str">
        <f>IF(AB19=0,"",IF($AH$16&lt;=$Q$21,"7割軽減",IF(AND($AH$16&gt;$Q$21,$AH$16&lt;=$R$21),"5割軽減",IF(AND($AH$16&gt;$R$21,$AH$16&lt;=$S$21),"2割軽減","なし"))))</f>
        <v/>
      </c>
      <c r="M17" s="5"/>
      <c r="O17" s="19"/>
      <c r="P17" s="42"/>
      <c r="Q17" s="43"/>
      <c r="R17" s="43"/>
      <c r="S17" s="42"/>
      <c r="T17" s="43"/>
      <c r="U17" s="43"/>
      <c r="V17" s="43"/>
      <c r="W17" s="43"/>
      <c r="X17" s="31"/>
      <c r="Z17" s="44"/>
      <c r="AA17" s="44" t="s">
        <v>47</v>
      </c>
      <c r="AB17" s="42">
        <f>IF(B9="加入なし(65歳以上)",1,0)</f>
        <v>0</v>
      </c>
      <c r="AC17" s="31"/>
      <c r="AD17" s="31"/>
      <c r="AE17" s="31"/>
      <c r="AF17" s="31"/>
      <c r="AG17" s="31"/>
      <c r="AH17" s="19"/>
      <c r="AI17" s="93">
        <f>AB27</f>
        <v>650000</v>
      </c>
      <c r="AJ17" s="97">
        <f>AI16-AJ16</f>
        <v>0</v>
      </c>
      <c r="AK17" s="93" t="str">
        <f>IF(AK16=AB27,"OK",IF(AK16=SUM(AG22:AG25),"OK","ERROR"))</f>
        <v>OK</v>
      </c>
      <c r="AL17" s="93">
        <f>AC27</f>
        <v>220000</v>
      </c>
      <c r="AM17" s="97">
        <f>AL16-AM16</f>
        <v>0</v>
      </c>
      <c r="AN17" s="93" t="str">
        <f>IF(AN16=AC27,"OK",IF(AN16=SUM(AH22,AH24),"OK","ERROR"))</f>
        <v>OK</v>
      </c>
      <c r="AO17" s="93">
        <f>AD27</f>
        <v>170000</v>
      </c>
      <c r="AP17" s="93" t="str">
        <f>IF(AP16=AD27,"OK",IF(AP16=SUM(AI22,AI24),"OK","ERROR"))</f>
        <v>OK</v>
      </c>
      <c r="AQ17" s="93" t="str">
        <f>IF(AQ16=SUM(AG22:AI22,AG23,AG24:AI24,AG25),"OK","ERROR")</f>
        <v>OK</v>
      </c>
      <c r="AR17" s="93" t="str">
        <f>IF(AR16=AG26,"OK","ERROR")</f>
        <v>OK</v>
      </c>
      <c r="AS17" s="93" t="str">
        <f>IF(AS16=AH26,"OK","ERROR")</f>
        <v>OK</v>
      </c>
      <c r="AT17" s="93" t="str">
        <f>IF(AT16=AI26,"OK","ERROR")</f>
        <v>OK</v>
      </c>
    </row>
    <row r="18" spans="1:46" ht="9" customHeight="1" thickBot="1" x14ac:dyDescent="0.2">
      <c r="P18" s="31"/>
      <c r="Q18" s="31"/>
      <c r="R18" s="63">
        <v>295000</v>
      </c>
      <c r="S18" s="63">
        <v>545000</v>
      </c>
      <c r="T18" s="31"/>
      <c r="U18" s="31"/>
      <c r="V18" s="31"/>
      <c r="W18" s="31"/>
      <c r="X18" s="31"/>
      <c r="Z18" s="44"/>
      <c r="AA18" s="44" t="s">
        <v>48</v>
      </c>
      <c r="AB18" s="42">
        <f>IF(B9="加入なし(６４歳以下)",1,0)</f>
        <v>0</v>
      </c>
      <c r="AC18" s="31"/>
      <c r="AD18" s="31"/>
      <c r="AE18" s="31"/>
      <c r="AF18" s="116" t="s">
        <v>78</v>
      </c>
      <c r="AG18" s="117"/>
      <c r="AH18" s="77">
        <f>IF(OR(B9="加入なし(64歳以下)",B9="加入なし(65歳以上)",B9=""),SUM(AG10:AG15),SUM(AG9:AG15))</f>
        <v>0</v>
      </c>
    </row>
    <row r="19" spans="1:46" ht="30" customHeight="1" thickBot="1" x14ac:dyDescent="0.2">
      <c r="A19" s="13" t="s">
        <v>28</v>
      </c>
      <c r="B19" s="129" t="s">
        <v>26</v>
      </c>
      <c r="C19" s="128"/>
      <c r="D19" s="124" t="s">
        <v>19</v>
      </c>
      <c r="E19" s="124"/>
      <c r="F19" s="124" t="s">
        <v>20</v>
      </c>
      <c r="G19" s="124"/>
      <c r="H19" s="124" t="s">
        <v>101</v>
      </c>
      <c r="I19" s="124"/>
      <c r="P19" s="31"/>
      <c r="Q19" s="112" t="s">
        <v>49</v>
      </c>
      <c r="R19" s="112" t="s">
        <v>50</v>
      </c>
      <c r="S19" s="112" t="s">
        <v>51</v>
      </c>
      <c r="T19" s="45"/>
      <c r="U19" s="112" t="s">
        <v>69</v>
      </c>
      <c r="V19" s="112"/>
      <c r="W19" s="40"/>
      <c r="X19" s="92"/>
      <c r="Z19" s="41"/>
      <c r="AA19" s="41" t="s">
        <v>52</v>
      </c>
      <c r="AB19" s="67">
        <f>AB16+AB17+AB18</f>
        <v>0</v>
      </c>
      <c r="AC19" s="31"/>
      <c r="AD19" s="31"/>
      <c r="AE19" s="31"/>
      <c r="AF19" s="31"/>
      <c r="AG19" s="31"/>
      <c r="AH19" s="19"/>
    </row>
    <row r="20" spans="1:46" ht="14.25" customHeight="1" x14ac:dyDescent="0.15">
      <c r="B20" s="127" t="s">
        <v>21</v>
      </c>
      <c r="C20" s="128"/>
      <c r="D20" s="27">
        <f>AG22</f>
        <v>0</v>
      </c>
      <c r="E20" s="12" t="s">
        <v>10</v>
      </c>
      <c r="F20" s="27">
        <f>AH22</f>
        <v>0</v>
      </c>
      <c r="G20" s="12" t="s">
        <v>10</v>
      </c>
      <c r="H20" s="27">
        <f>AI22</f>
        <v>0</v>
      </c>
      <c r="I20" s="12" t="s">
        <v>10</v>
      </c>
      <c r="P20" s="31"/>
      <c r="Q20" s="115"/>
      <c r="R20" s="115"/>
      <c r="S20" s="115"/>
      <c r="T20" s="40"/>
      <c r="U20" s="54" t="s">
        <v>71</v>
      </c>
      <c r="V20" s="54" t="s">
        <v>72</v>
      </c>
      <c r="W20" s="31"/>
      <c r="X20" s="92"/>
      <c r="Y20" s="31"/>
      <c r="Z20" s="31"/>
      <c r="AA20" s="31"/>
      <c r="AB20" s="31"/>
      <c r="AC20" s="31"/>
      <c r="AD20" s="31"/>
      <c r="AE20" s="31"/>
      <c r="AF20" s="31"/>
    </row>
    <row r="21" spans="1:46" ht="14.25" customHeight="1" x14ac:dyDescent="0.15">
      <c r="B21" s="127" t="s">
        <v>22</v>
      </c>
      <c r="C21" s="128"/>
      <c r="D21" s="27">
        <f t="shared" ref="D21:D23" si="37">AG23</f>
        <v>0</v>
      </c>
      <c r="E21" s="12" t="s">
        <v>10</v>
      </c>
      <c r="F21" s="68"/>
      <c r="G21" s="12" t="s">
        <v>10</v>
      </c>
      <c r="H21" s="68"/>
      <c r="I21" s="12" t="s">
        <v>10</v>
      </c>
      <c r="P21" s="31"/>
      <c r="Q21" s="22">
        <f>430000+100000*(IF(V16=0,1,V16)-1)</f>
        <v>430000</v>
      </c>
      <c r="R21" s="22">
        <f>AB16*R18+430000+100000*(IF(V16=0,1,V16)-1)</f>
        <v>430000</v>
      </c>
      <c r="S21" s="22">
        <f>AB16*S18+430000+100000*(IF(V16=0,1,V16)-1)</f>
        <v>430000</v>
      </c>
      <c r="T21" s="46"/>
      <c r="U21" s="56">
        <f>AB25/2*AC16</f>
        <v>0</v>
      </c>
      <c r="V21" s="56">
        <f>AC25/2*AC16</f>
        <v>0</v>
      </c>
      <c r="W21" s="31"/>
      <c r="X21" s="91"/>
      <c r="Y21" s="31"/>
      <c r="Z21" s="31"/>
      <c r="AA21" s="115" t="s">
        <v>77</v>
      </c>
      <c r="AB21" s="115" t="s">
        <v>73</v>
      </c>
      <c r="AC21" s="115"/>
      <c r="AD21" s="115"/>
      <c r="AE21" s="31"/>
      <c r="AF21" s="69" t="s">
        <v>26</v>
      </c>
      <c r="AG21" s="54" t="s">
        <v>19</v>
      </c>
      <c r="AH21" s="54" t="s">
        <v>20</v>
      </c>
      <c r="AI21" s="54" t="s">
        <v>87</v>
      </c>
      <c r="AJ21" s="45"/>
    </row>
    <row r="22" spans="1:46" ht="15" customHeight="1" x14ac:dyDescent="0.15">
      <c r="B22" s="127" t="s">
        <v>23</v>
      </c>
      <c r="C22" s="128"/>
      <c r="D22" s="27">
        <f t="shared" si="37"/>
        <v>0</v>
      </c>
      <c r="E22" s="12" t="s">
        <v>10</v>
      </c>
      <c r="F22" s="27">
        <f>AH24</f>
        <v>0</v>
      </c>
      <c r="G22" s="12" t="s">
        <v>10</v>
      </c>
      <c r="H22" s="27">
        <f>AI24</f>
        <v>0</v>
      </c>
      <c r="I22" s="12" t="s">
        <v>10</v>
      </c>
      <c r="K22" s="152" t="s">
        <v>80</v>
      </c>
      <c r="L22" s="153"/>
      <c r="M22" s="154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115"/>
      <c r="AB22" s="55" t="s">
        <v>71</v>
      </c>
      <c r="AC22" s="54" t="s">
        <v>74</v>
      </c>
      <c r="AD22" s="55" t="s">
        <v>75</v>
      </c>
      <c r="AE22" s="31"/>
      <c r="AF22" s="70" t="s">
        <v>21</v>
      </c>
      <c r="AG22" s="71">
        <f>(AH18*AB23)/12*A5</f>
        <v>0</v>
      </c>
      <c r="AH22" s="71">
        <f>(AH18*AC23)/12*A5</f>
        <v>0</v>
      </c>
      <c r="AI22" s="83">
        <f>(AE16*AD23)/12*A5</f>
        <v>0</v>
      </c>
      <c r="AJ22" s="91"/>
    </row>
    <row r="23" spans="1:46" x14ac:dyDescent="0.15">
      <c r="B23" s="127" t="s">
        <v>24</v>
      </c>
      <c r="C23" s="128"/>
      <c r="D23" s="27">
        <f t="shared" si="37"/>
        <v>0</v>
      </c>
      <c r="E23" s="12" t="s">
        <v>10</v>
      </c>
      <c r="F23" s="68"/>
      <c r="G23" s="12" t="s">
        <v>10</v>
      </c>
      <c r="H23" s="68"/>
      <c r="I23" s="12" t="s">
        <v>10</v>
      </c>
      <c r="K23" s="155"/>
      <c r="L23" s="156"/>
      <c r="M23" s="157"/>
      <c r="P23" s="31"/>
      <c r="Q23" s="47" t="s">
        <v>53</v>
      </c>
      <c r="R23" s="47" t="s">
        <v>54</v>
      </c>
      <c r="S23" s="47" t="s">
        <v>55</v>
      </c>
      <c r="T23" s="47" t="s">
        <v>56</v>
      </c>
      <c r="U23" s="47" t="s">
        <v>57</v>
      </c>
      <c r="V23" s="47" t="s">
        <v>58</v>
      </c>
      <c r="W23" s="47" t="s">
        <v>59</v>
      </c>
      <c r="X23" s="47" t="s">
        <v>60</v>
      </c>
      <c r="Y23" s="31"/>
      <c r="Z23" s="31"/>
      <c r="AA23" s="55" t="s">
        <v>21</v>
      </c>
      <c r="AB23" s="60">
        <v>7.6999999999999999E-2</v>
      </c>
      <c r="AC23" s="60">
        <v>0.02</v>
      </c>
      <c r="AD23" s="60">
        <v>1.7000000000000001E-2</v>
      </c>
      <c r="AE23" s="31"/>
      <c r="AF23" s="70" t="s">
        <v>22</v>
      </c>
      <c r="AG23" s="71">
        <f>(AA16*AB24)/12*A5</f>
        <v>0</v>
      </c>
      <c r="AH23" s="80"/>
      <c r="AI23" s="59"/>
      <c r="AJ23" s="91"/>
    </row>
    <row r="24" spans="1:46" ht="15" thickBot="1" x14ac:dyDescent="0.2">
      <c r="B24" s="130" t="s">
        <v>29</v>
      </c>
      <c r="C24" s="131"/>
      <c r="D24" s="28">
        <f>AG26</f>
        <v>0</v>
      </c>
      <c r="E24" s="17" t="s">
        <v>10</v>
      </c>
      <c r="F24" s="28">
        <f>AH26</f>
        <v>0</v>
      </c>
      <c r="G24" s="17" t="s">
        <v>10</v>
      </c>
      <c r="H24" s="28">
        <f>AI26</f>
        <v>0</v>
      </c>
      <c r="I24" s="17" t="s">
        <v>10</v>
      </c>
      <c r="K24" s="155"/>
      <c r="L24" s="156"/>
      <c r="M24" s="157"/>
      <c r="O24" s="20"/>
      <c r="P24" s="44" t="s">
        <v>61</v>
      </c>
      <c r="Q24" s="48"/>
      <c r="R24" s="48"/>
      <c r="S24" s="48"/>
      <c r="T24" s="48"/>
      <c r="U24" s="48"/>
      <c r="V24" s="48"/>
      <c r="W24" s="48"/>
      <c r="X24" s="48"/>
      <c r="Y24" s="31"/>
      <c r="Z24" s="31"/>
      <c r="AA24" s="55" t="s">
        <v>22</v>
      </c>
      <c r="AB24" s="60">
        <v>0.33</v>
      </c>
      <c r="AC24" s="58"/>
      <c r="AD24" s="58"/>
      <c r="AE24" s="31"/>
      <c r="AF24" s="70" t="s">
        <v>23</v>
      </c>
      <c r="AG24" s="71">
        <f>(AB25*AB16)/12*A5</f>
        <v>0</v>
      </c>
      <c r="AH24" s="71">
        <f>(AC25*AB16)/12*A5</f>
        <v>0</v>
      </c>
      <c r="AI24" s="83">
        <f>(AD25*AD16)/12*A5</f>
        <v>0</v>
      </c>
      <c r="AJ24" s="91"/>
    </row>
    <row r="25" spans="1:46" ht="15" thickTop="1" x14ac:dyDescent="0.15">
      <c r="B25" s="122" t="s">
        <v>25</v>
      </c>
      <c r="C25" s="123"/>
      <c r="D25" s="29">
        <f>AG27</f>
        <v>0</v>
      </c>
      <c r="E25" s="18" t="s">
        <v>10</v>
      </c>
      <c r="F25" s="29">
        <f>AH27</f>
        <v>0</v>
      </c>
      <c r="G25" s="18" t="s">
        <v>10</v>
      </c>
      <c r="H25" s="29">
        <f>AI27</f>
        <v>0</v>
      </c>
      <c r="I25" s="18" t="s">
        <v>10</v>
      </c>
      <c r="K25" s="158"/>
      <c r="L25" s="159"/>
      <c r="M25" s="160"/>
      <c r="P25" s="49"/>
      <c r="Q25" s="50"/>
      <c r="R25" s="51"/>
      <c r="S25" s="51"/>
      <c r="T25" s="51"/>
      <c r="U25" s="51"/>
      <c r="V25" s="51"/>
      <c r="W25" s="51"/>
      <c r="X25" s="51"/>
      <c r="Y25" s="49"/>
      <c r="Z25" s="49"/>
      <c r="AA25" s="57" t="s">
        <v>23</v>
      </c>
      <c r="AB25" s="61">
        <v>12000</v>
      </c>
      <c r="AC25" s="61">
        <v>9000</v>
      </c>
      <c r="AD25" s="61">
        <v>9000</v>
      </c>
      <c r="AE25" s="31"/>
      <c r="AF25" s="70" t="s">
        <v>24</v>
      </c>
      <c r="AG25" s="71">
        <f>(IF(B9="",0,AB26))/12*A5</f>
        <v>0</v>
      </c>
      <c r="AH25" s="80"/>
      <c r="AI25" s="59"/>
      <c r="AJ25" s="91"/>
    </row>
    <row r="26" spans="1:46" ht="15" thickBot="1" x14ac:dyDescent="0.2">
      <c r="B26" s="171" t="s">
        <v>82</v>
      </c>
      <c r="C26" s="172"/>
      <c r="D26" s="87">
        <v>650000</v>
      </c>
      <c r="E26" s="88" t="s">
        <v>83</v>
      </c>
      <c r="F26" s="87">
        <v>220000</v>
      </c>
      <c r="G26" s="88" t="s">
        <v>83</v>
      </c>
      <c r="H26" s="87">
        <v>170000</v>
      </c>
      <c r="I26" s="88" t="s">
        <v>83</v>
      </c>
      <c r="P26" s="49"/>
      <c r="Q26" s="50"/>
      <c r="R26" s="51"/>
      <c r="S26" s="51"/>
      <c r="T26" s="51"/>
      <c r="U26" s="51"/>
      <c r="V26" s="51"/>
      <c r="W26" s="51"/>
      <c r="X26" s="51"/>
      <c r="Y26" s="31"/>
      <c r="Z26" s="31"/>
      <c r="AA26" s="55" t="s">
        <v>24</v>
      </c>
      <c r="AB26" s="62">
        <v>14000</v>
      </c>
      <c r="AC26" s="59"/>
      <c r="AD26" s="59"/>
      <c r="AE26" s="31"/>
      <c r="AF26" s="72" t="s">
        <v>29</v>
      </c>
      <c r="AG26" s="73">
        <f>(IF(B9="",0,IF($AH$16&lt;=$Q$21,-((AB25*0.7)*($AB$16-$AC$16)+(AG25*0.7))/12*$A$5-U21*0.7/12*$A$5,IF(AND($AH$16&gt;$Q$21,$AH$16&lt;=$R$21),-((AB25*0.5)*($AB$16-$AC$16)+(AG25*0.5))/12*$A$5-U21*0.5/12*$A$5,IF(AND($AH$16&gt;$R$21,$AH$16&lt;=$S$21),-((AB25*0.2)*($AB$16-$AC$16)+(AG25*0.2))/12*$A$5-U21*0.2/12*$A$5,0)))-U21/12*$A$5))</f>
        <v>0</v>
      </c>
      <c r="AH26" s="73">
        <f>IF(B9="",0,IF($AH$16&lt;=$Q$21,-((AC25*0.7)*($AB$16-$AC$16))/12*$A$5-V21*0.7/12*$A$5,IF(AND($AH$16&gt;$Q$21,$AH$16&lt;=$R$21),-((AC25*0.5)*($AB$16-$AC$16))/12*$A$5-V21*0.5/12*$A$5,IF(AND($AH$16&gt;$R$21,$AH$16&lt;=$S$21),-((AC25*0.2)*($AB$16-$AC$16)/12*$A$5)-V21*0.2/12*$A$5,0)))-V21/12*$A$5)</f>
        <v>0</v>
      </c>
      <c r="AI26" s="85">
        <f>IF(B9="",0,IF($AH$16&lt;=$Q$21,-(AD25*0.7)*AD16/12*$A$5,IF(AND($AH$16&gt;$Q$21,$AH$16&lt;=$R$21),-(AD25*0.5)*AD16/12*$A$5,IF(AND($AH$16&gt;$R$21,$AH$16&lt;=$S$21),-(AD25*0.2)*AD16/12*$A$5,0))))</f>
        <v>0</v>
      </c>
      <c r="AJ26" s="91"/>
    </row>
    <row r="27" spans="1:46" ht="15" thickTop="1" x14ac:dyDescent="0.15">
      <c r="P27" s="49"/>
      <c r="Q27" s="50"/>
      <c r="R27" s="48"/>
      <c r="S27" s="48"/>
      <c r="T27" s="48"/>
      <c r="U27" s="48"/>
      <c r="V27" s="48"/>
      <c r="W27" s="48"/>
      <c r="X27" s="48"/>
      <c r="Y27" s="31"/>
      <c r="Z27" s="31"/>
      <c r="AA27" s="55" t="s">
        <v>76</v>
      </c>
      <c r="AB27" s="62">
        <v>650000</v>
      </c>
      <c r="AC27" s="62">
        <v>220000</v>
      </c>
      <c r="AD27" s="62">
        <v>170000</v>
      </c>
      <c r="AE27" s="31"/>
      <c r="AF27" s="74" t="s">
        <v>25</v>
      </c>
      <c r="AG27" s="75">
        <f>MIN(ROUNDDOWN(SUM(AG22:AG26),-2),AB27)</f>
        <v>0</v>
      </c>
      <c r="AH27" s="75">
        <f t="shared" ref="AH27:AI27" si="38">MIN(ROUNDDOWN(SUM(AH22:AH26),-2),AC27)</f>
        <v>0</v>
      </c>
      <c r="AI27" s="84">
        <f t="shared" si="38"/>
        <v>0</v>
      </c>
      <c r="AJ27" s="91"/>
    </row>
    <row r="28" spans="1:46" x14ac:dyDescent="0.15">
      <c r="P28" s="31"/>
      <c r="Q28" s="52"/>
      <c r="R28" s="52"/>
      <c r="S28" s="52"/>
      <c r="T28" s="52"/>
      <c r="U28" s="52"/>
      <c r="V28" s="52"/>
      <c r="W28" s="52"/>
      <c r="X28" s="52"/>
      <c r="Y28" s="31"/>
      <c r="Z28" s="31"/>
      <c r="AA28" s="31"/>
      <c r="AB28" s="31"/>
      <c r="AC28" s="31"/>
      <c r="AD28" s="31"/>
      <c r="AE28" s="31"/>
      <c r="AF28" s="31"/>
      <c r="AG28" s="150">
        <f>SUM(AG27:AI27)</f>
        <v>0</v>
      </c>
      <c r="AH28" s="151"/>
      <c r="AI28" s="151"/>
      <c r="AJ28" s="94"/>
    </row>
    <row r="29" spans="1:46" x14ac:dyDescent="0.15">
      <c r="P29" s="31"/>
      <c r="Q29" s="53" t="s">
        <v>62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46" x14ac:dyDescent="0.15">
      <c r="P30" s="31"/>
      <c r="Q30" s="31" t="s">
        <v>63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</sheetData>
  <sheetProtection password="BC8A" sheet="1" selectLockedCells="1"/>
  <mergeCells count="69">
    <mergeCell ref="AR7:AT7"/>
    <mergeCell ref="AU7:AU8"/>
    <mergeCell ref="B26:C26"/>
    <mergeCell ref="AA7:AA8"/>
    <mergeCell ref="AI7:AK7"/>
    <mergeCell ref="AL7:AN7"/>
    <mergeCell ref="J17:K17"/>
    <mergeCell ref="Q19:Q20"/>
    <mergeCell ref="R19:R20"/>
    <mergeCell ref="Z7:Z8"/>
    <mergeCell ref="AC7:AC8"/>
    <mergeCell ref="V7:V8"/>
    <mergeCell ref="W7:W8"/>
    <mergeCell ref="X7:X8"/>
    <mergeCell ref="Y7:Y8"/>
    <mergeCell ref="AB7:AB8"/>
    <mergeCell ref="AG28:AI28"/>
    <mergeCell ref="K22:M25"/>
    <mergeCell ref="K7:K8"/>
    <mergeCell ref="A3:M3"/>
    <mergeCell ref="D7:I7"/>
    <mergeCell ref="B9:C9"/>
    <mergeCell ref="B10:C10"/>
    <mergeCell ref="L7:M8"/>
    <mergeCell ref="J7:J8"/>
    <mergeCell ref="B13:C13"/>
    <mergeCell ref="B14:C14"/>
    <mergeCell ref="B15:C15"/>
    <mergeCell ref="G17:H17"/>
    <mergeCell ref="E17:F17"/>
    <mergeCell ref="H19:I19"/>
    <mergeCell ref="B21:C21"/>
    <mergeCell ref="A2:D2"/>
    <mergeCell ref="B11:C11"/>
    <mergeCell ref="B12:C12"/>
    <mergeCell ref="A1:B1"/>
    <mergeCell ref="A17:B17"/>
    <mergeCell ref="A5:B5"/>
    <mergeCell ref="A7:A8"/>
    <mergeCell ref="B7:B8"/>
    <mergeCell ref="C7:C8"/>
    <mergeCell ref="B25:C25"/>
    <mergeCell ref="D19:E19"/>
    <mergeCell ref="F19:G19"/>
    <mergeCell ref="S19:S20"/>
    <mergeCell ref="P7:P8"/>
    <mergeCell ref="Q7:Q8"/>
    <mergeCell ref="S7:S8"/>
    <mergeCell ref="B20:C20"/>
    <mergeCell ref="B22:C22"/>
    <mergeCell ref="B23:C23"/>
    <mergeCell ref="B19:C19"/>
    <mergeCell ref="B24:C24"/>
    <mergeCell ref="R7:R8"/>
    <mergeCell ref="I16:M16"/>
    <mergeCell ref="AB21:AD21"/>
    <mergeCell ref="AA21:AA22"/>
    <mergeCell ref="AF18:AG18"/>
    <mergeCell ref="AE7:AE8"/>
    <mergeCell ref="AF7:AF8"/>
    <mergeCell ref="AG7:AG8"/>
    <mergeCell ref="AD7:AD8"/>
    <mergeCell ref="O1:Q2"/>
    <mergeCell ref="T7:T8"/>
    <mergeCell ref="AH7:AH8"/>
    <mergeCell ref="U19:V19"/>
    <mergeCell ref="AQ7:AQ8"/>
    <mergeCell ref="AO7:AP7"/>
    <mergeCell ref="U7:U8"/>
  </mergeCells>
  <phoneticPr fontId="2"/>
  <dataValidations count="4">
    <dataValidation type="list" allowBlank="1" showInputMessage="1" showErrorMessage="1" sqref="B10:C15">
      <formula1>"65歳以上,40歳～64歳,39歳以下,未就学児"</formula1>
    </dataValidation>
    <dataValidation imeMode="halfAlpha" allowBlank="1" showInputMessage="1" showErrorMessage="1" sqref="F9:F15 H9:H15 D9:D15 J9:J15"/>
    <dataValidation type="list" allowBlank="1" showInputMessage="1" showErrorMessage="1" sqref="B9:C9">
      <formula1>"加入なし(64歳以下),加入なし(65歳以上),65歳以上,40歳～64歳,39歳以下"</formula1>
    </dataValidation>
    <dataValidation type="list" allowBlank="1" showInputMessage="1" showErrorMessage="1" sqref="A5:B5">
      <formula1>"12,11,10,9,8,7,6,5,4,3,2,1"</formula1>
    </dataValidation>
  </dataValidations>
  <pageMargins left="0.59055118110236227" right="0.59055118110236227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簡易試算シート</vt:lpstr>
      <vt:lpstr>簡易試算シート!Print_Area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純恵</dc:creator>
  <cp:lastModifiedBy>三浦　純恵</cp:lastModifiedBy>
  <cp:lastPrinted>2025-01-06T04:16:25Z</cp:lastPrinted>
  <dcterms:created xsi:type="dcterms:W3CDTF">2024-11-25T02:20:48Z</dcterms:created>
  <dcterms:modified xsi:type="dcterms:W3CDTF">2025-01-06T07:09:10Z</dcterms:modified>
</cp:coreProperties>
</file>