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dcsv202\100200水道施\工務係全般\給水担当共通\直結給水システム実施基準\R7一部改定\"/>
    </mc:Choice>
  </mc:AlternateContent>
  <bookViews>
    <workbookView xWindow="0" yWindow="0" windowWidth="20490" windowHeight="7560" tabRatio="650"/>
  </bookViews>
  <sheets>
    <sheet name="直圧式水理計算書" sheetId="33" r:id="rId1"/>
    <sheet name="器具類損失水頭計算書" sheetId="34" r:id="rId2"/>
    <sheet name="器具負荷単位による各区間点の使用水量算定表" sheetId="29" r:id="rId3"/>
  </sheets>
  <definedNames>
    <definedName name="_xlnm.Print_Area" localSheetId="2">器具負荷単位による各区間点の使用水量算定表!$B$2:$Q$52</definedName>
    <definedName name="_xlnm.Print_Area" localSheetId="1">器具類損失水頭計算書!$B$2:$M$78</definedName>
    <definedName name="_xlnm.Print_Area" localSheetId="0">直圧式水理計算書!$B$2:$P$77</definedName>
    <definedName name="_xlnm.Print_Titles" localSheetId="1">器具類損失水頭計算書!$2:$2</definedName>
    <definedName name="_xlnm.Print_Titles" localSheetId="0">直圧式水理計算書!$2:$2</definedName>
  </definedNames>
  <calcPr calcId="162913"/>
</workbook>
</file>

<file path=xl/calcChain.xml><?xml version="1.0" encoding="utf-8"?>
<calcChain xmlns="http://schemas.openxmlformats.org/spreadsheetml/2006/main">
  <c r="K34" i="33" l="1"/>
  <c r="H78" i="34" l="1"/>
  <c r="G63" i="33" s="1"/>
  <c r="M77" i="34"/>
  <c r="L77" i="34"/>
  <c r="K77" i="34"/>
  <c r="J77" i="34"/>
  <c r="X77" i="34" s="1"/>
  <c r="I77" i="34"/>
  <c r="V76" i="34"/>
  <c r="R76" i="34"/>
  <c r="L76" i="34"/>
  <c r="K76" i="34"/>
  <c r="J76" i="34"/>
  <c r="I76" i="34"/>
  <c r="W76" i="34" s="1"/>
  <c r="Y76" i="34" s="1"/>
  <c r="X75" i="34"/>
  <c r="W75" i="34"/>
  <c r="Y75" i="34" s="1"/>
  <c r="T75" i="34"/>
  <c r="S75" i="34"/>
  <c r="U75" i="34" s="1"/>
  <c r="M75" i="34"/>
  <c r="L75" i="34"/>
  <c r="K75" i="34"/>
  <c r="J75" i="34"/>
  <c r="I75" i="34"/>
  <c r="V75" i="34" s="1"/>
  <c r="X74" i="34"/>
  <c r="V74" i="34"/>
  <c r="T74" i="34"/>
  <c r="R74" i="34"/>
  <c r="L74" i="34"/>
  <c r="K74" i="34"/>
  <c r="J74" i="34"/>
  <c r="M74" i="34" s="1"/>
  <c r="I74" i="34"/>
  <c r="W74" i="34" s="1"/>
  <c r="Y74" i="34" s="1"/>
  <c r="M73" i="34"/>
  <c r="L73" i="34"/>
  <c r="K73" i="34"/>
  <c r="J73" i="34"/>
  <c r="X73" i="34" s="1"/>
  <c r="I73" i="34"/>
  <c r="W72" i="34"/>
  <c r="Y72" i="34" s="1"/>
  <c r="V72" i="34"/>
  <c r="S72" i="34"/>
  <c r="U72" i="34" s="1"/>
  <c r="R72" i="34"/>
  <c r="L72" i="34"/>
  <c r="K72" i="34"/>
  <c r="J72" i="34"/>
  <c r="I72" i="34"/>
  <c r="X71" i="34"/>
  <c r="W71" i="34"/>
  <c r="Y71" i="34" s="1"/>
  <c r="T71" i="34"/>
  <c r="S71" i="34"/>
  <c r="U71" i="34" s="1"/>
  <c r="M71" i="34"/>
  <c r="L71" i="34"/>
  <c r="K71" i="34"/>
  <c r="J71" i="34"/>
  <c r="I71" i="34"/>
  <c r="V71" i="34" s="1"/>
  <c r="L70" i="34"/>
  <c r="K70" i="34"/>
  <c r="J70" i="34"/>
  <c r="M70" i="34" s="1"/>
  <c r="I70" i="34"/>
  <c r="W70" i="34" s="1"/>
  <c r="Y70" i="34" s="1"/>
  <c r="L69" i="34"/>
  <c r="J69" i="34"/>
  <c r="X69" i="34" s="1"/>
  <c r="I69" i="34"/>
  <c r="J68" i="34"/>
  <c r="I68" i="34"/>
  <c r="V68" i="34" s="1"/>
  <c r="L67" i="34"/>
  <c r="K67" i="34"/>
  <c r="J67" i="34"/>
  <c r="T67" i="34" s="1"/>
  <c r="I67" i="34"/>
  <c r="V67" i="34" s="1"/>
  <c r="J66" i="34"/>
  <c r="T66" i="34" s="1"/>
  <c r="I66" i="34"/>
  <c r="W66" i="34" s="1"/>
  <c r="J65" i="34"/>
  <c r="X65" i="34" s="1"/>
  <c r="I65" i="34"/>
  <c r="L65" i="34" s="1"/>
  <c r="J64" i="34"/>
  <c r="I64" i="34"/>
  <c r="R64" i="34" s="1"/>
  <c r="J63" i="34"/>
  <c r="T63" i="34" s="1"/>
  <c r="I63" i="34"/>
  <c r="V63" i="34" s="1"/>
  <c r="J62" i="34"/>
  <c r="I62" i="34"/>
  <c r="W62" i="34" s="1"/>
  <c r="J61" i="34"/>
  <c r="X61" i="34" s="1"/>
  <c r="I61" i="34"/>
  <c r="L61" i="34" s="1"/>
  <c r="J60" i="34"/>
  <c r="I60" i="34"/>
  <c r="S60" i="34" s="1"/>
  <c r="AH59" i="34"/>
  <c r="AI59" i="34" s="1"/>
  <c r="AJ59" i="34" s="1"/>
  <c r="AD59" i="34"/>
  <c r="AE59" i="34" s="1"/>
  <c r="AF59" i="34" s="1"/>
  <c r="AG59" i="34" s="1"/>
  <c r="AB59" i="34"/>
  <c r="AC59" i="34" s="1"/>
  <c r="J59" i="34"/>
  <c r="X59" i="34" s="1"/>
  <c r="I59" i="34"/>
  <c r="W59" i="34" s="1"/>
  <c r="J58" i="34"/>
  <c r="X58" i="34" s="1"/>
  <c r="I58" i="34"/>
  <c r="L58" i="34" s="1"/>
  <c r="J57" i="34"/>
  <c r="I57" i="34"/>
  <c r="W57" i="34" s="1"/>
  <c r="J56" i="34"/>
  <c r="X56" i="34" s="1"/>
  <c r="I56" i="34"/>
  <c r="V56" i="34" s="1"/>
  <c r="J55" i="34"/>
  <c r="X55" i="34" s="1"/>
  <c r="I55" i="34"/>
  <c r="W55" i="34" s="1"/>
  <c r="J54" i="34"/>
  <c r="X54" i="34" s="1"/>
  <c r="I54" i="34"/>
  <c r="L54" i="34" s="1"/>
  <c r="J53" i="34"/>
  <c r="I53" i="34"/>
  <c r="R53" i="34" s="1"/>
  <c r="T50" i="34"/>
  <c r="S50" i="34"/>
  <c r="R50" i="34"/>
  <c r="H50" i="34"/>
  <c r="G62" i="33" s="1"/>
  <c r="M49" i="34"/>
  <c r="L49" i="34"/>
  <c r="K49" i="34"/>
  <c r="J49" i="34"/>
  <c r="X49" i="34" s="1"/>
  <c r="I49" i="34"/>
  <c r="W48" i="34"/>
  <c r="Y48" i="34" s="1"/>
  <c r="V48" i="34"/>
  <c r="S48" i="34"/>
  <c r="U48" i="34" s="1"/>
  <c r="R48" i="34"/>
  <c r="L48" i="34"/>
  <c r="K48" i="34"/>
  <c r="J48" i="34"/>
  <c r="I48" i="34"/>
  <c r="X47" i="34"/>
  <c r="W47" i="34"/>
  <c r="Y47" i="34" s="1"/>
  <c r="T47" i="34"/>
  <c r="S47" i="34"/>
  <c r="U47" i="34" s="1"/>
  <c r="M47" i="34"/>
  <c r="L47" i="34"/>
  <c r="K47" i="34"/>
  <c r="J47" i="34"/>
  <c r="I47" i="34"/>
  <c r="V47" i="34" s="1"/>
  <c r="X46" i="34"/>
  <c r="T46" i="34"/>
  <c r="M46" i="34"/>
  <c r="L46" i="34"/>
  <c r="K46" i="34"/>
  <c r="J46" i="34"/>
  <c r="I46" i="34"/>
  <c r="R45" i="34"/>
  <c r="L45" i="34"/>
  <c r="K45" i="34"/>
  <c r="J45" i="34"/>
  <c r="I45" i="34"/>
  <c r="V45" i="34" s="1"/>
  <c r="W44" i="34"/>
  <c r="Y44" i="34" s="1"/>
  <c r="V44" i="34"/>
  <c r="S44" i="34"/>
  <c r="U44" i="34" s="1"/>
  <c r="R44" i="34"/>
  <c r="L44" i="34"/>
  <c r="K44" i="34"/>
  <c r="J44" i="34"/>
  <c r="I44" i="34"/>
  <c r="M43" i="34"/>
  <c r="L43" i="34"/>
  <c r="K43" i="34"/>
  <c r="J43" i="34"/>
  <c r="X43" i="34" s="1"/>
  <c r="I43" i="34"/>
  <c r="J42" i="34"/>
  <c r="T42" i="34" s="1"/>
  <c r="I42" i="34"/>
  <c r="R42" i="34" s="1"/>
  <c r="L41" i="34"/>
  <c r="K41" i="34"/>
  <c r="J41" i="34"/>
  <c r="M41" i="34" s="1"/>
  <c r="I41" i="34"/>
  <c r="W41" i="34" s="1"/>
  <c r="Y41" i="34" s="1"/>
  <c r="J40" i="34"/>
  <c r="I40" i="34"/>
  <c r="S40" i="34" s="1"/>
  <c r="L39" i="34"/>
  <c r="J39" i="34"/>
  <c r="X39" i="34" s="1"/>
  <c r="I39" i="34"/>
  <c r="L38" i="34"/>
  <c r="K38" i="34"/>
  <c r="J38" i="34"/>
  <c r="I38" i="34"/>
  <c r="W38" i="34" s="1"/>
  <c r="Y38" i="34" s="1"/>
  <c r="L37" i="34"/>
  <c r="K37" i="34"/>
  <c r="J37" i="34"/>
  <c r="X37" i="34" s="1"/>
  <c r="I37" i="34"/>
  <c r="V37" i="34" s="1"/>
  <c r="J36" i="34"/>
  <c r="I36" i="34"/>
  <c r="V36" i="34" s="1"/>
  <c r="AC35" i="34"/>
  <c r="AB35" i="34"/>
  <c r="J35" i="34"/>
  <c r="I35" i="34"/>
  <c r="V35" i="34" s="1"/>
  <c r="AB34" i="34"/>
  <c r="AC34" i="34" s="1"/>
  <c r="J34" i="34"/>
  <c r="I34" i="34"/>
  <c r="W34" i="34" s="1"/>
  <c r="AC33" i="34"/>
  <c r="AB33" i="34"/>
  <c r="J33" i="34"/>
  <c r="T33" i="34" s="1"/>
  <c r="I33" i="34"/>
  <c r="L33" i="34" s="1"/>
  <c r="AB32" i="34"/>
  <c r="AC32" i="34" s="1"/>
  <c r="J32" i="34"/>
  <c r="X32" i="34" s="1"/>
  <c r="I32" i="34"/>
  <c r="S32" i="34" s="1"/>
  <c r="AC31" i="34"/>
  <c r="AB31" i="34"/>
  <c r="J31" i="34"/>
  <c r="X31" i="34" s="1"/>
  <c r="I31" i="34"/>
  <c r="V31" i="34" s="1"/>
  <c r="AB30" i="34"/>
  <c r="AC30" i="34" s="1"/>
  <c r="J30" i="34"/>
  <c r="I30" i="34"/>
  <c r="W30" i="34" s="1"/>
  <c r="AC29" i="34"/>
  <c r="J29" i="34"/>
  <c r="I29" i="34"/>
  <c r="V29" i="34" s="1"/>
  <c r="AC28" i="34"/>
  <c r="J28" i="34"/>
  <c r="I28" i="34"/>
  <c r="W28" i="34" s="1"/>
  <c r="AC27" i="34"/>
  <c r="J27" i="34"/>
  <c r="I27" i="34"/>
  <c r="S27" i="34" s="1"/>
  <c r="AC26" i="34"/>
  <c r="J26" i="34"/>
  <c r="I26" i="34"/>
  <c r="W26" i="34" s="1"/>
  <c r="AC25" i="34"/>
  <c r="J25" i="34"/>
  <c r="T25" i="34" s="1"/>
  <c r="I25" i="34"/>
  <c r="S25" i="34" s="1"/>
  <c r="AC24" i="34"/>
  <c r="H22" i="34"/>
  <c r="AL21" i="34"/>
  <c r="X21" i="34"/>
  <c r="W21" i="34"/>
  <c r="Y21" i="34" s="1"/>
  <c r="V21" i="34"/>
  <c r="T21" i="34"/>
  <c r="S21" i="34"/>
  <c r="U21" i="34" s="1"/>
  <c r="R21" i="34"/>
  <c r="M21" i="34"/>
  <c r="L21" i="34"/>
  <c r="K21" i="34"/>
  <c r="AL20" i="34"/>
  <c r="X20" i="34"/>
  <c r="W20" i="34"/>
  <c r="V20" i="34"/>
  <c r="T20" i="34"/>
  <c r="S20" i="34"/>
  <c r="R20" i="34"/>
  <c r="L20" i="34"/>
  <c r="AL19" i="34"/>
  <c r="AC19" i="34"/>
  <c r="X19" i="34"/>
  <c r="W19" i="34"/>
  <c r="V19" i="34"/>
  <c r="T19" i="34"/>
  <c r="S19" i="34"/>
  <c r="R19" i="34"/>
  <c r="L19" i="34"/>
  <c r="AL18" i="34"/>
  <c r="AC18" i="34"/>
  <c r="Y18" i="34"/>
  <c r="X18" i="34"/>
  <c r="W18" i="34"/>
  <c r="V18" i="34"/>
  <c r="U18" i="34"/>
  <c r="T18" i="34"/>
  <c r="S18" i="34"/>
  <c r="R18" i="34"/>
  <c r="M18" i="34"/>
  <c r="L18" i="34"/>
  <c r="K18" i="34"/>
  <c r="AL17" i="34"/>
  <c r="AC17" i="34"/>
  <c r="X17" i="34"/>
  <c r="W17" i="34"/>
  <c r="V17" i="34"/>
  <c r="T17" i="34"/>
  <c r="S17" i="34"/>
  <c r="R17" i="34"/>
  <c r="L17" i="34"/>
  <c r="AL16" i="34"/>
  <c r="AC16" i="34"/>
  <c r="X16" i="34"/>
  <c r="W16" i="34"/>
  <c r="V16" i="34"/>
  <c r="T16" i="34"/>
  <c r="S16" i="34"/>
  <c r="R16" i="34"/>
  <c r="L16" i="34"/>
  <c r="AL15" i="34"/>
  <c r="AC15" i="34"/>
  <c r="X15" i="34"/>
  <c r="W15" i="34"/>
  <c r="Y15" i="34" s="1"/>
  <c r="V15" i="34"/>
  <c r="T15" i="34"/>
  <c r="S15" i="34"/>
  <c r="U15" i="34" s="1"/>
  <c r="R15" i="34"/>
  <c r="M15" i="34"/>
  <c r="L15" i="34"/>
  <c r="K15" i="34"/>
  <c r="AL14" i="34"/>
  <c r="AC14" i="34"/>
  <c r="X14" i="34"/>
  <c r="W14" i="34"/>
  <c r="V14" i="34"/>
  <c r="T14" i="34"/>
  <c r="S14" i="34"/>
  <c r="R14" i="34"/>
  <c r="L14" i="34"/>
  <c r="AL13" i="34"/>
  <c r="AC13" i="34"/>
  <c r="X13" i="34"/>
  <c r="W13" i="34"/>
  <c r="V13" i="34"/>
  <c r="T13" i="34"/>
  <c r="S13" i="34"/>
  <c r="U13" i="34" s="1"/>
  <c r="R13" i="34"/>
  <c r="L13" i="34"/>
  <c r="AL12" i="34"/>
  <c r="AC12" i="34"/>
  <c r="X12" i="34"/>
  <c r="W12" i="34"/>
  <c r="V12" i="34"/>
  <c r="T12" i="34"/>
  <c r="S12" i="34"/>
  <c r="R12" i="34"/>
  <c r="L12" i="34"/>
  <c r="AL11" i="34"/>
  <c r="AC11" i="34"/>
  <c r="X11" i="34"/>
  <c r="W11" i="34"/>
  <c r="V11" i="34"/>
  <c r="T11" i="34"/>
  <c r="S11" i="34"/>
  <c r="R11" i="34"/>
  <c r="L11" i="34"/>
  <c r="AL10" i="34"/>
  <c r="AC10" i="34"/>
  <c r="X10" i="34"/>
  <c r="W10" i="34"/>
  <c r="Y10" i="34" s="1"/>
  <c r="V10" i="34"/>
  <c r="T10" i="34"/>
  <c r="S10" i="34"/>
  <c r="U10" i="34" s="1"/>
  <c r="R10" i="34"/>
  <c r="M10" i="34"/>
  <c r="L10" i="34"/>
  <c r="K10" i="34"/>
  <c r="AL9" i="34"/>
  <c r="AC9" i="34"/>
  <c r="X9" i="34"/>
  <c r="W9" i="34"/>
  <c r="Y9" i="34" s="1"/>
  <c r="K9" i="34" s="1"/>
  <c r="V9" i="34"/>
  <c r="T9" i="34"/>
  <c r="S9" i="34"/>
  <c r="U9" i="34" s="1"/>
  <c r="R9" i="34"/>
  <c r="L9" i="34"/>
  <c r="AL8" i="34"/>
  <c r="AC8" i="34"/>
  <c r="X8" i="34"/>
  <c r="W8" i="34"/>
  <c r="V8" i="34"/>
  <c r="T8" i="34"/>
  <c r="S8" i="34"/>
  <c r="R8" i="34"/>
  <c r="L8" i="34"/>
  <c r="AL7" i="34"/>
  <c r="X7" i="34"/>
  <c r="W7" i="34"/>
  <c r="Y7" i="34" s="1"/>
  <c r="V7" i="34"/>
  <c r="T7" i="34"/>
  <c r="S7" i="34"/>
  <c r="U7" i="34" s="1"/>
  <c r="R7" i="34"/>
  <c r="M7" i="34"/>
  <c r="L7" i="34"/>
  <c r="K7" i="34"/>
  <c r="AL6" i="34"/>
  <c r="X6" i="34"/>
  <c r="W6" i="34"/>
  <c r="V6" i="34"/>
  <c r="T6" i="34"/>
  <c r="S6" i="34"/>
  <c r="R6" i="34"/>
  <c r="L6" i="34"/>
  <c r="D77" i="33"/>
  <c r="D76" i="33" s="1"/>
  <c r="I70" i="33"/>
  <c r="BM63" i="33"/>
  <c r="K63" i="33"/>
  <c r="I63" i="33"/>
  <c r="H63" i="33"/>
  <c r="BM62" i="33"/>
  <c r="K62" i="33"/>
  <c r="I62" i="33"/>
  <c r="H62" i="33"/>
  <c r="BM61" i="33"/>
  <c r="BM60" i="33"/>
  <c r="BM59" i="33"/>
  <c r="BM58" i="33"/>
  <c r="BM57" i="33"/>
  <c r="BM56" i="33"/>
  <c r="BM55" i="33"/>
  <c r="M48" i="33"/>
  <c r="I48" i="33"/>
  <c r="BQ47" i="33"/>
  <c r="BP47" i="33"/>
  <c r="BO47" i="33"/>
  <c r="BN47" i="33"/>
  <c r="BM47" i="33"/>
  <c r="BL47" i="33"/>
  <c r="BK47" i="33"/>
  <c r="BJ47" i="33"/>
  <c r="O47" i="33"/>
  <c r="K47" i="33"/>
  <c r="BQ46" i="33"/>
  <c r="BP46" i="33"/>
  <c r="BO46" i="33"/>
  <c r="BN46" i="33"/>
  <c r="BM46" i="33"/>
  <c r="BL46" i="33"/>
  <c r="BK46" i="33"/>
  <c r="BJ46" i="33"/>
  <c r="O46" i="33"/>
  <c r="K46" i="33"/>
  <c r="BQ45" i="33"/>
  <c r="BP45" i="33"/>
  <c r="BO45" i="33"/>
  <c r="BN45" i="33"/>
  <c r="BM45" i="33"/>
  <c r="BL45" i="33"/>
  <c r="BK45" i="33"/>
  <c r="BJ45" i="33"/>
  <c r="O45" i="33"/>
  <c r="K45" i="33"/>
  <c r="BQ44" i="33"/>
  <c r="BP44" i="33"/>
  <c r="BO44" i="33"/>
  <c r="BN44" i="33"/>
  <c r="BM44" i="33"/>
  <c r="BL44" i="33"/>
  <c r="BK44" i="33"/>
  <c r="BJ44" i="33"/>
  <c r="O44" i="33"/>
  <c r="K44" i="33"/>
  <c r="BP43" i="33"/>
  <c r="BQ43" i="33" s="1"/>
  <c r="BO43" i="33"/>
  <c r="BN43" i="33"/>
  <c r="BL43" i="33"/>
  <c r="BM43" i="33" s="1"/>
  <c r="BK43" i="33"/>
  <c r="BJ43" i="33"/>
  <c r="O43" i="33"/>
  <c r="K43" i="33"/>
  <c r="BQ42" i="33"/>
  <c r="BP42" i="33"/>
  <c r="BO42" i="33"/>
  <c r="BN42" i="33"/>
  <c r="BM42" i="33"/>
  <c r="BL42" i="33"/>
  <c r="BK42" i="33"/>
  <c r="BJ42" i="33"/>
  <c r="O42" i="33"/>
  <c r="K42" i="33"/>
  <c r="BP41" i="33"/>
  <c r="BQ41" i="33" s="1"/>
  <c r="BO41" i="33"/>
  <c r="BN41" i="33"/>
  <c r="BL41" i="33"/>
  <c r="BM41" i="33" s="1"/>
  <c r="BK41" i="33"/>
  <c r="BJ41" i="33"/>
  <c r="O41" i="33"/>
  <c r="K41" i="33"/>
  <c r="BP40" i="33"/>
  <c r="BQ40" i="33" s="1"/>
  <c r="BO40" i="33"/>
  <c r="BN40" i="33"/>
  <c r="BL40" i="33"/>
  <c r="BK40" i="33"/>
  <c r="BJ40" i="33"/>
  <c r="K40" i="33"/>
  <c r="BP39" i="33"/>
  <c r="BQ39" i="33" s="1"/>
  <c r="BO39" i="33"/>
  <c r="K39" i="33" s="1"/>
  <c r="BN39" i="33"/>
  <c r="BL39" i="33"/>
  <c r="BK39" i="33"/>
  <c r="BJ39" i="33"/>
  <c r="BP38" i="33"/>
  <c r="BO38" i="33"/>
  <c r="K38" i="33" s="1"/>
  <c r="BN38" i="33"/>
  <c r="BL38" i="33"/>
  <c r="BK38" i="33"/>
  <c r="BJ38" i="33"/>
  <c r="BP37" i="33"/>
  <c r="BO37" i="33"/>
  <c r="BN37" i="33"/>
  <c r="BL37" i="33"/>
  <c r="BK37" i="33"/>
  <c r="BJ37" i="33"/>
  <c r="BP36" i="33"/>
  <c r="K36" i="33" s="1"/>
  <c r="BO36" i="33"/>
  <c r="BN36" i="33"/>
  <c r="BL36" i="33"/>
  <c r="BK36" i="33"/>
  <c r="BJ36" i="33"/>
  <c r="BP35" i="33"/>
  <c r="K35" i="33" s="1"/>
  <c r="BO35" i="33"/>
  <c r="BN35" i="33"/>
  <c r="BL35" i="33"/>
  <c r="BK35" i="33"/>
  <c r="BJ35" i="33"/>
  <c r="BP34" i="33"/>
  <c r="BO34" i="33"/>
  <c r="BN34" i="33"/>
  <c r="BL34" i="33"/>
  <c r="BK34" i="33"/>
  <c r="BJ34" i="33"/>
  <c r="BP33" i="33"/>
  <c r="BO33" i="33"/>
  <c r="BN33" i="33"/>
  <c r="BL33" i="33"/>
  <c r="BK33" i="33"/>
  <c r="BJ33" i="33"/>
  <c r="BP32" i="33"/>
  <c r="BO32" i="33"/>
  <c r="BN32" i="33"/>
  <c r="BL32" i="33"/>
  <c r="BK32" i="33"/>
  <c r="BJ32" i="33"/>
  <c r="BP31" i="33"/>
  <c r="BO31" i="33"/>
  <c r="BN31" i="33"/>
  <c r="BL31" i="33"/>
  <c r="BK31" i="33"/>
  <c r="BJ31" i="33"/>
  <c r="BP30" i="33"/>
  <c r="BO30" i="33"/>
  <c r="BN30" i="33"/>
  <c r="BL30" i="33"/>
  <c r="BK30" i="33"/>
  <c r="BJ30" i="33"/>
  <c r="BP29" i="33"/>
  <c r="BO29" i="33"/>
  <c r="BN29" i="33"/>
  <c r="BL29" i="33"/>
  <c r="BK29" i="33"/>
  <c r="BJ29" i="33"/>
  <c r="BP28" i="33"/>
  <c r="BO28" i="33"/>
  <c r="BN28" i="33"/>
  <c r="BL28" i="33"/>
  <c r="BK28" i="33"/>
  <c r="BJ28" i="33"/>
  <c r="BP27" i="33"/>
  <c r="BO27" i="33"/>
  <c r="BN27" i="33"/>
  <c r="BL27" i="33"/>
  <c r="BK27" i="33"/>
  <c r="BJ27" i="33"/>
  <c r="BP26" i="33"/>
  <c r="BO26" i="33"/>
  <c r="BN26" i="33"/>
  <c r="BL26" i="33"/>
  <c r="BK26" i="33"/>
  <c r="BJ26" i="33"/>
  <c r="BP25" i="33"/>
  <c r="BO25" i="33"/>
  <c r="BN25" i="33"/>
  <c r="BL25" i="33"/>
  <c r="BK25" i="33"/>
  <c r="BJ25" i="33"/>
  <c r="BP24" i="33"/>
  <c r="BO24" i="33"/>
  <c r="BN24" i="33"/>
  <c r="BL24" i="33"/>
  <c r="BK24" i="33"/>
  <c r="BJ24" i="33"/>
  <c r="BP23" i="33"/>
  <c r="BO23" i="33"/>
  <c r="BN23" i="33"/>
  <c r="BL23" i="33"/>
  <c r="BK23" i="33"/>
  <c r="BJ23" i="33"/>
  <c r="BP18" i="33"/>
  <c r="BL18" i="33"/>
  <c r="BK18" i="33"/>
  <c r="BP17" i="33"/>
  <c r="BK17" i="33"/>
  <c r="BL17" i="33" s="1"/>
  <c r="BP16" i="33"/>
  <c r="BK16" i="33"/>
  <c r="BL16" i="33" s="1"/>
  <c r="BP15" i="33"/>
  <c r="BK15" i="33"/>
  <c r="BL15" i="33" s="1"/>
  <c r="BP14" i="33"/>
  <c r="BL14" i="33"/>
  <c r="BK14" i="33"/>
  <c r="BP13" i="33"/>
  <c r="BK13" i="33"/>
  <c r="BL13" i="33" s="1"/>
  <c r="BP12" i="33"/>
  <c r="BL12" i="33"/>
  <c r="BP11" i="33"/>
  <c r="BL11" i="33"/>
  <c r="BP10" i="33"/>
  <c r="BL10" i="33"/>
  <c r="BP9" i="33"/>
  <c r="BL9" i="33"/>
  <c r="BP8" i="33"/>
  <c r="BL8" i="33"/>
  <c r="BP7" i="33"/>
  <c r="BL7" i="33"/>
  <c r="M13" i="34" l="1"/>
  <c r="Y13" i="34"/>
  <c r="K13" i="34" s="1"/>
  <c r="U20" i="34"/>
  <c r="M20" i="34" s="1"/>
  <c r="L27" i="34"/>
  <c r="U14" i="34"/>
  <c r="M14" i="34" s="1"/>
  <c r="Y16" i="34"/>
  <c r="K16" i="34" s="1"/>
  <c r="Y17" i="34"/>
  <c r="K17" i="34" s="1"/>
  <c r="U17" i="34"/>
  <c r="M17" i="34" s="1"/>
  <c r="T43" i="34"/>
  <c r="U12" i="34"/>
  <c r="M12" i="34" s="1"/>
  <c r="W68" i="34"/>
  <c r="L68" i="34"/>
  <c r="L42" i="34"/>
  <c r="L40" i="34"/>
  <c r="T40" i="34"/>
  <c r="U40" i="34" s="1"/>
  <c r="Y20" i="34"/>
  <c r="K20" i="34" s="1"/>
  <c r="U11" i="34"/>
  <c r="M11" i="34" s="1"/>
  <c r="BM40" i="33"/>
  <c r="O40" i="33" s="1"/>
  <c r="BM39" i="33"/>
  <c r="O39" i="33" s="1"/>
  <c r="S41" i="34"/>
  <c r="U41" i="34" s="1"/>
  <c r="BQ38" i="33"/>
  <c r="V40" i="34"/>
  <c r="R68" i="34"/>
  <c r="BM38" i="33"/>
  <c r="O38" i="33" s="1"/>
  <c r="R40" i="34"/>
  <c r="W40" i="34"/>
  <c r="Y40" i="34" s="1"/>
  <c r="K40" i="34" s="1"/>
  <c r="S68" i="34"/>
  <c r="BQ37" i="33"/>
  <c r="BQ35" i="33"/>
  <c r="BM35" i="33"/>
  <c r="O35" i="33" s="1"/>
  <c r="BM34" i="33"/>
  <c r="O34" i="33" s="1"/>
  <c r="X70" i="34"/>
  <c r="T70" i="34"/>
  <c r="BQ33" i="33"/>
  <c r="L36" i="34"/>
  <c r="L35" i="34"/>
  <c r="U16" i="34"/>
  <c r="M16" i="34" s="1"/>
  <c r="M9" i="34"/>
  <c r="K33" i="33"/>
  <c r="X63" i="34"/>
  <c r="BQ31" i="33"/>
  <c r="BM31" i="33"/>
  <c r="O31" i="33" s="1"/>
  <c r="BM25" i="33"/>
  <c r="O25" i="33" s="1"/>
  <c r="L60" i="34"/>
  <c r="L31" i="34"/>
  <c r="L28" i="34"/>
  <c r="Y8" i="34"/>
  <c r="K8" i="34" s="1"/>
  <c r="Y55" i="34"/>
  <c r="K55" i="34" s="1"/>
  <c r="S37" i="34"/>
  <c r="U37" i="34" s="1"/>
  <c r="BM33" i="33"/>
  <c r="O33" i="33" s="1"/>
  <c r="BM37" i="33"/>
  <c r="O37" i="33" s="1"/>
  <c r="W37" i="34"/>
  <c r="Y37" i="34" s="1"/>
  <c r="W67" i="34"/>
  <c r="Y67" i="34" s="1"/>
  <c r="BM32" i="33"/>
  <c r="O32" i="33" s="1"/>
  <c r="BQ36" i="33"/>
  <c r="BQ34" i="33"/>
  <c r="BM36" i="33"/>
  <c r="O36" i="33" s="1"/>
  <c r="L64" i="34"/>
  <c r="BQ30" i="33"/>
  <c r="BM30" i="33"/>
  <c r="O30" i="33" s="1"/>
  <c r="K28" i="33"/>
  <c r="K26" i="33"/>
  <c r="BQ23" i="33"/>
  <c r="L66" i="34"/>
  <c r="S64" i="34"/>
  <c r="V64" i="34"/>
  <c r="W64" i="34"/>
  <c r="L63" i="34"/>
  <c r="W63" i="34"/>
  <c r="L62" i="34"/>
  <c r="T59" i="34"/>
  <c r="Y12" i="34"/>
  <c r="K12" i="34" s="1"/>
  <c r="K37" i="33"/>
  <c r="X67" i="34"/>
  <c r="T39" i="34"/>
  <c r="M67" i="34"/>
  <c r="X66" i="34"/>
  <c r="Y66" i="34" s="1"/>
  <c r="K66" i="34" s="1"/>
  <c r="T36" i="34"/>
  <c r="X36" i="34"/>
  <c r="M37" i="34"/>
  <c r="W36" i="34"/>
  <c r="Y36" i="34" s="1"/>
  <c r="K36" i="34" s="1"/>
  <c r="W35" i="34"/>
  <c r="S36" i="34"/>
  <c r="R38" i="34"/>
  <c r="S35" i="34"/>
  <c r="R36" i="34"/>
  <c r="K32" i="33"/>
  <c r="V38" i="34"/>
  <c r="S63" i="34"/>
  <c r="U63" i="34" s="1"/>
  <c r="S67" i="34"/>
  <c r="U67" i="34" s="1"/>
  <c r="V28" i="34"/>
  <c r="BQ24" i="33"/>
  <c r="BM24" i="33"/>
  <c r="O24" i="33" s="1"/>
  <c r="BM26" i="33"/>
  <c r="O26" i="33" s="1"/>
  <c r="BQ25" i="33"/>
  <c r="U19" i="34"/>
  <c r="M19" i="34" s="1"/>
  <c r="L29" i="34"/>
  <c r="L30" i="34"/>
  <c r="W27" i="34"/>
  <c r="X27" i="34"/>
  <c r="L26" i="34"/>
  <c r="R26" i="34"/>
  <c r="V26" i="34"/>
  <c r="Y19" i="34"/>
  <c r="K19" i="34" s="1"/>
  <c r="Y14" i="34"/>
  <c r="K14" i="34" s="1"/>
  <c r="Y11" i="34"/>
  <c r="K11" i="34" s="1"/>
  <c r="U8" i="34"/>
  <c r="M8" i="34" s="1"/>
  <c r="K27" i="33"/>
  <c r="X62" i="34"/>
  <c r="Y62" i="34" s="1"/>
  <c r="K62" i="34" s="1"/>
  <c r="V60" i="34"/>
  <c r="W60" i="34"/>
  <c r="T62" i="34"/>
  <c r="BQ29" i="33"/>
  <c r="BM29" i="33"/>
  <c r="O29" i="33" s="1"/>
  <c r="L59" i="34"/>
  <c r="BM28" i="33"/>
  <c r="O28" i="33" s="1"/>
  <c r="BQ27" i="33"/>
  <c r="BM27" i="33"/>
  <c r="O27" i="33" s="1"/>
  <c r="W29" i="34"/>
  <c r="R34" i="34"/>
  <c r="L34" i="34"/>
  <c r="X33" i="34"/>
  <c r="Y59" i="34"/>
  <c r="K59" i="34" s="1"/>
  <c r="L57" i="34"/>
  <c r="L56" i="34"/>
  <c r="W56" i="34"/>
  <c r="Y56" i="34" s="1"/>
  <c r="K56" i="34" s="1"/>
  <c r="L55" i="34"/>
  <c r="L53" i="34"/>
  <c r="L32" i="34"/>
  <c r="T32" i="34"/>
  <c r="U32" i="34" s="1"/>
  <c r="L22" i="34"/>
  <c r="U6" i="34"/>
  <c r="M6" i="34" s="1"/>
  <c r="BQ32" i="33"/>
  <c r="K31" i="33"/>
  <c r="K30" i="33"/>
  <c r="T29" i="34"/>
  <c r="X29" i="34"/>
  <c r="T27" i="34"/>
  <c r="U27" i="34" s="1"/>
  <c r="K29" i="33"/>
  <c r="BQ28" i="33"/>
  <c r="T56" i="34"/>
  <c r="BQ26" i="33"/>
  <c r="K25" i="33"/>
  <c r="T55" i="34"/>
  <c r="K24" i="33"/>
  <c r="V34" i="34"/>
  <c r="V32" i="34"/>
  <c r="W32" i="34"/>
  <c r="Y32" i="34" s="1"/>
  <c r="K32" i="34" s="1"/>
  <c r="R32" i="34"/>
  <c r="R60" i="34"/>
  <c r="V27" i="34"/>
  <c r="S31" i="34"/>
  <c r="R29" i="34"/>
  <c r="W31" i="34"/>
  <c r="Y31" i="34" s="1"/>
  <c r="K31" i="34" s="1"/>
  <c r="R57" i="34"/>
  <c r="S29" i="34"/>
  <c r="R30" i="34"/>
  <c r="S57" i="34"/>
  <c r="R27" i="34"/>
  <c r="V30" i="34"/>
  <c r="S56" i="34"/>
  <c r="U56" i="34" s="1"/>
  <c r="V57" i="34"/>
  <c r="R28" i="34"/>
  <c r="Y6" i="34"/>
  <c r="K6" i="34" s="1"/>
  <c r="BM23" i="33"/>
  <c r="O23" i="33" s="1"/>
  <c r="S53" i="34"/>
  <c r="L25" i="34"/>
  <c r="U25" i="34"/>
  <c r="X25" i="34"/>
  <c r="K23" i="33"/>
  <c r="V25" i="34"/>
  <c r="V53" i="34"/>
  <c r="R25" i="34"/>
  <c r="W25" i="34"/>
  <c r="W53" i="34"/>
  <c r="W61" i="34"/>
  <c r="Y61" i="34" s="1"/>
  <c r="K61" i="34" s="1"/>
  <c r="S61" i="34"/>
  <c r="V61" i="34"/>
  <c r="R61" i="34"/>
  <c r="X26" i="34"/>
  <c r="Y26" i="34" s="1"/>
  <c r="K26" i="34" s="1"/>
  <c r="T26" i="34"/>
  <c r="X30" i="34"/>
  <c r="Y30" i="34" s="1"/>
  <c r="K30" i="34" s="1"/>
  <c r="T30" i="34"/>
  <c r="AM17" i="34"/>
  <c r="AM13" i="34"/>
  <c r="AM9" i="34"/>
  <c r="AM16" i="34"/>
  <c r="AM12" i="34"/>
  <c r="AM8" i="34"/>
  <c r="AM21" i="34"/>
  <c r="AM20" i="34"/>
  <c r="AM19" i="34"/>
  <c r="AM15" i="34"/>
  <c r="AM11" i="34"/>
  <c r="AM7" i="34"/>
  <c r="AM6" i="34"/>
  <c r="V43" i="34"/>
  <c r="R43" i="34"/>
  <c r="S43" i="34"/>
  <c r="U43" i="34" s="1"/>
  <c r="W69" i="34"/>
  <c r="Y69" i="34" s="1"/>
  <c r="K69" i="34" s="1"/>
  <c r="S69" i="34"/>
  <c r="V69" i="34"/>
  <c r="R69" i="34"/>
  <c r="X28" i="34"/>
  <c r="Y28" i="34" s="1"/>
  <c r="K28" i="34" s="1"/>
  <c r="T28" i="34"/>
  <c r="W33" i="34"/>
  <c r="Y33" i="34" s="1"/>
  <c r="K33" i="34" s="1"/>
  <c r="S33" i="34"/>
  <c r="U33" i="34" s="1"/>
  <c r="V33" i="34"/>
  <c r="R33" i="34"/>
  <c r="X34" i="34"/>
  <c r="Y34" i="34" s="1"/>
  <c r="K34" i="34" s="1"/>
  <c r="T34" i="34"/>
  <c r="M38" i="34"/>
  <c r="X38" i="34"/>
  <c r="T38" i="34"/>
  <c r="M44" i="34"/>
  <c r="X44" i="34"/>
  <c r="T44" i="34"/>
  <c r="X45" i="34"/>
  <c r="T45" i="34"/>
  <c r="M45" i="34"/>
  <c r="W46" i="34"/>
  <c r="Y46" i="34" s="1"/>
  <c r="S46" i="34"/>
  <c r="U46" i="34" s="1"/>
  <c r="V46" i="34"/>
  <c r="R46" i="34"/>
  <c r="W58" i="34"/>
  <c r="Y58" i="34" s="1"/>
  <c r="K58" i="34" s="1"/>
  <c r="S58" i="34"/>
  <c r="V58" i="34"/>
  <c r="R58" i="34"/>
  <c r="W77" i="34"/>
  <c r="Y77" i="34" s="1"/>
  <c r="S77" i="34"/>
  <c r="U77" i="34" s="1"/>
  <c r="V77" i="34"/>
  <c r="R77" i="34"/>
  <c r="AM10" i="34"/>
  <c r="AM14" i="34"/>
  <c r="AM18" i="34"/>
  <c r="V39" i="34"/>
  <c r="S39" i="34"/>
  <c r="U39" i="34" s="1"/>
  <c r="W39" i="34"/>
  <c r="Y39" i="34" s="1"/>
  <c r="K39" i="34" s="1"/>
  <c r="R39" i="34"/>
  <c r="M39" i="34" s="1"/>
  <c r="W43" i="34"/>
  <c r="Y43" i="34" s="1"/>
  <c r="S26" i="34"/>
  <c r="S28" i="34"/>
  <c r="S30" i="34"/>
  <c r="T31" i="34"/>
  <c r="S34" i="34"/>
  <c r="T35" i="34"/>
  <c r="X35" i="34"/>
  <c r="T37" i="34"/>
  <c r="S38" i="34"/>
  <c r="U38" i="34" s="1"/>
  <c r="X40" i="34"/>
  <c r="W42" i="34"/>
  <c r="S42" i="34"/>
  <c r="U42" i="34" s="1"/>
  <c r="M42" i="34"/>
  <c r="V42" i="34"/>
  <c r="W54" i="34"/>
  <c r="Y54" i="34" s="1"/>
  <c r="K54" i="34" s="1"/>
  <c r="S54" i="34"/>
  <c r="V54" i="34"/>
  <c r="R54" i="34"/>
  <c r="X57" i="34"/>
  <c r="Y57" i="34" s="1"/>
  <c r="K57" i="34" s="1"/>
  <c r="T57" i="34"/>
  <c r="X60" i="34"/>
  <c r="T60" i="34"/>
  <c r="U60" i="34" s="1"/>
  <c r="X68" i="34"/>
  <c r="T68" i="34"/>
  <c r="V41" i="34"/>
  <c r="X42" i="34"/>
  <c r="W49" i="34"/>
  <c r="Y49" i="34" s="1"/>
  <c r="S49" i="34"/>
  <c r="U49" i="34" s="1"/>
  <c r="V49" i="34"/>
  <c r="R49" i="34"/>
  <c r="X53" i="34"/>
  <c r="T53" i="34"/>
  <c r="W65" i="34"/>
  <c r="Y65" i="34" s="1"/>
  <c r="K65" i="34" s="1"/>
  <c r="S65" i="34"/>
  <c r="U65" i="34" s="1"/>
  <c r="V65" i="34"/>
  <c r="R65" i="34"/>
  <c r="W73" i="34"/>
  <c r="Y73" i="34" s="1"/>
  <c r="S73" i="34"/>
  <c r="U73" i="34" s="1"/>
  <c r="V73" i="34"/>
  <c r="R73" i="34"/>
  <c r="R31" i="34"/>
  <c r="R35" i="34"/>
  <c r="R37" i="34"/>
  <c r="X41" i="34"/>
  <c r="T41" i="34"/>
  <c r="R41" i="34"/>
  <c r="W45" i="34"/>
  <c r="Y45" i="34" s="1"/>
  <c r="S45" i="34"/>
  <c r="U45" i="34" s="1"/>
  <c r="M48" i="34"/>
  <c r="X48" i="34"/>
  <c r="T48" i="34"/>
  <c r="X64" i="34"/>
  <c r="T64" i="34"/>
  <c r="M72" i="34"/>
  <c r="X72" i="34"/>
  <c r="T72" i="34"/>
  <c r="M76" i="34"/>
  <c r="X76" i="34"/>
  <c r="T76" i="34"/>
  <c r="S76" i="34"/>
  <c r="U76" i="34" s="1"/>
  <c r="R55" i="34"/>
  <c r="V55" i="34"/>
  <c r="R59" i="34"/>
  <c r="V59" i="34"/>
  <c r="R62" i="34"/>
  <c r="V62" i="34"/>
  <c r="R66" i="34"/>
  <c r="M66" i="34" s="1"/>
  <c r="V66" i="34"/>
  <c r="R70" i="34"/>
  <c r="V70" i="34"/>
  <c r="R47" i="34"/>
  <c r="T49" i="34"/>
  <c r="T54" i="34"/>
  <c r="S55" i="34"/>
  <c r="R56" i="34"/>
  <c r="T58" i="34"/>
  <c r="S59" i="34"/>
  <c r="T61" i="34"/>
  <c r="S62" i="34"/>
  <c r="R63" i="34"/>
  <c r="T65" i="34"/>
  <c r="S66" i="34"/>
  <c r="U66" i="34" s="1"/>
  <c r="R67" i="34"/>
  <c r="T69" i="34"/>
  <c r="S70" i="34"/>
  <c r="U70" i="34" s="1"/>
  <c r="R71" i="34"/>
  <c r="T73" i="34"/>
  <c r="S74" i="34"/>
  <c r="U74" i="34" s="1"/>
  <c r="R75" i="34"/>
  <c r="T77" i="34"/>
  <c r="M32" i="34" l="1"/>
  <c r="U34" i="34"/>
  <c r="M34" i="34" s="1"/>
  <c r="M40" i="34"/>
  <c r="U69" i="34"/>
  <c r="M69" i="34" s="1"/>
  <c r="U68" i="34"/>
  <c r="M68" i="34" s="1"/>
  <c r="Y68" i="34"/>
  <c r="K68" i="34" s="1"/>
  <c r="Y42" i="34"/>
  <c r="K42" i="34" s="1"/>
  <c r="Y63" i="34"/>
  <c r="K63" i="34" s="1"/>
  <c r="U62" i="34"/>
  <c r="M62" i="34" s="1"/>
  <c r="U61" i="34"/>
  <c r="M61" i="34" s="1"/>
  <c r="U59" i="34"/>
  <c r="M59" i="34" s="1"/>
  <c r="M60" i="34"/>
  <c r="M63" i="34"/>
  <c r="U36" i="34"/>
  <c r="M36" i="34" s="1"/>
  <c r="Y35" i="34"/>
  <c r="K35" i="34" s="1"/>
  <c r="U35" i="34"/>
  <c r="M35" i="34" s="1"/>
  <c r="Y60" i="34"/>
  <c r="K60" i="34" s="1"/>
  <c r="U31" i="34"/>
  <c r="M31" i="34" s="1"/>
  <c r="U28" i="34"/>
  <c r="M28" i="34" s="1"/>
  <c r="M65" i="34"/>
  <c r="Y64" i="34"/>
  <c r="K64" i="34" s="1"/>
  <c r="U64" i="34"/>
  <c r="M64" i="34" s="1"/>
  <c r="U55" i="34"/>
  <c r="M55" i="34" s="1"/>
  <c r="M33" i="34"/>
  <c r="M56" i="34"/>
  <c r="M22" i="34"/>
  <c r="L78" i="34"/>
  <c r="M63" i="33" s="1"/>
  <c r="U29" i="34"/>
  <c r="M29" i="34" s="1"/>
  <c r="Y29" i="34"/>
  <c r="K29" i="34" s="1"/>
  <c r="U30" i="34"/>
  <c r="M30" i="34" s="1"/>
  <c r="M27" i="34"/>
  <c r="Y27" i="34"/>
  <c r="K27" i="34" s="1"/>
  <c r="U26" i="34"/>
  <c r="M26" i="34" s="1"/>
  <c r="L50" i="34"/>
  <c r="M62" i="33" s="1"/>
  <c r="O48" i="33"/>
  <c r="I68" i="33" s="1"/>
  <c r="Y25" i="34"/>
  <c r="K25" i="34" s="1"/>
  <c r="U53" i="34"/>
  <c r="M53" i="34" s="1"/>
  <c r="U58" i="34"/>
  <c r="M58" i="34" s="1"/>
  <c r="U57" i="34"/>
  <c r="M57" i="34" s="1"/>
  <c r="U54" i="34"/>
  <c r="M54" i="34" s="1"/>
  <c r="Y53" i="34"/>
  <c r="K53" i="34" s="1"/>
  <c r="K48" i="33"/>
  <c r="M25" i="34"/>
  <c r="AT10" i="34"/>
  <c r="O56" i="33" s="1"/>
  <c r="AP10" i="34"/>
  <c r="H56" i="33" s="1"/>
  <c r="AS10" i="34"/>
  <c r="M56" i="33" s="1"/>
  <c r="AO10" i="34"/>
  <c r="G56" i="33" s="1"/>
  <c r="AR10" i="34"/>
  <c r="K56" i="33" s="1"/>
  <c r="AN10" i="34"/>
  <c r="D56" i="33" s="1"/>
  <c r="AQ10" i="34"/>
  <c r="I56" i="33" s="1"/>
  <c r="AS7" i="34"/>
  <c r="M53" i="33" s="1"/>
  <c r="AO7" i="34"/>
  <c r="G53" i="33" s="1"/>
  <c r="AR7" i="34"/>
  <c r="K53" i="33" s="1"/>
  <c r="AN7" i="34"/>
  <c r="D53" i="33" s="1"/>
  <c r="AQ7" i="34"/>
  <c r="I53" i="33" s="1"/>
  <c r="AT7" i="34"/>
  <c r="O53" i="33" s="1"/>
  <c r="AP7" i="34"/>
  <c r="H53" i="33" s="1"/>
  <c r="AS20" i="34"/>
  <c r="AO20" i="34"/>
  <c r="AR20" i="34"/>
  <c r="AN20" i="34"/>
  <c r="AQ20" i="34"/>
  <c r="AT20" i="34"/>
  <c r="AP20" i="34"/>
  <c r="AR16" i="34"/>
  <c r="AN16" i="34"/>
  <c r="AQ16" i="34"/>
  <c r="AT16" i="34"/>
  <c r="AP16" i="34"/>
  <c r="AS16" i="34"/>
  <c r="AO16" i="34"/>
  <c r="AS11" i="34"/>
  <c r="M57" i="33" s="1"/>
  <c r="AO11" i="34"/>
  <c r="G57" i="33" s="1"/>
  <c r="AR11" i="34"/>
  <c r="K57" i="33" s="1"/>
  <c r="AN11" i="34"/>
  <c r="D57" i="33" s="1"/>
  <c r="AQ11" i="34"/>
  <c r="I57" i="33" s="1"/>
  <c r="AT11" i="34"/>
  <c r="O57" i="33" s="1"/>
  <c r="AP11" i="34"/>
  <c r="H57" i="33" s="1"/>
  <c r="AS21" i="34"/>
  <c r="AO21" i="34"/>
  <c r="AR21" i="34"/>
  <c r="AN21" i="34"/>
  <c r="AQ21" i="34"/>
  <c r="AT21" i="34"/>
  <c r="AP21" i="34"/>
  <c r="AQ9" i="34"/>
  <c r="I55" i="33" s="1"/>
  <c r="AT9" i="34"/>
  <c r="O55" i="33" s="1"/>
  <c r="AP9" i="34"/>
  <c r="H55" i="33" s="1"/>
  <c r="AS9" i="34"/>
  <c r="M55" i="33" s="1"/>
  <c r="AO9" i="34"/>
  <c r="G55" i="33" s="1"/>
  <c r="AR9" i="34"/>
  <c r="K55" i="33" s="1"/>
  <c r="AN9" i="34"/>
  <c r="D55" i="33" s="1"/>
  <c r="AT18" i="34"/>
  <c r="AP18" i="34"/>
  <c r="AS18" i="34"/>
  <c r="AO18" i="34"/>
  <c r="AR18" i="34"/>
  <c r="AN18" i="34"/>
  <c r="AQ18" i="34"/>
  <c r="AS15" i="34"/>
  <c r="M61" i="33" s="1"/>
  <c r="AO15" i="34"/>
  <c r="G61" i="33" s="1"/>
  <c r="AR15" i="34"/>
  <c r="K61" i="33" s="1"/>
  <c r="AN15" i="34"/>
  <c r="D61" i="33" s="1"/>
  <c r="AQ15" i="34"/>
  <c r="I61" i="33" s="1"/>
  <c r="AT15" i="34"/>
  <c r="O61" i="33" s="1"/>
  <c r="AP15" i="34"/>
  <c r="H61" i="33" s="1"/>
  <c r="AR8" i="34"/>
  <c r="K54" i="33" s="1"/>
  <c r="AN8" i="34"/>
  <c r="D54" i="33" s="1"/>
  <c r="AQ8" i="34"/>
  <c r="I54" i="33" s="1"/>
  <c r="AT8" i="34"/>
  <c r="O54" i="33" s="1"/>
  <c r="AP8" i="34"/>
  <c r="H54" i="33" s="1"/>
  <c r="AS8" i="34"/>
  <c r="M54" i="33" s="1"/>
  <c r="AO8" i="34"/>
  <c r="G54" i="33" s="1"/>
  <c r="AQ13" i="34"/>
  <c r="I59" i="33" s="1"/>
  <c r="AT13" i="34"/>
  <c r="O59" i="33" s="1"/>
  <c r="AP13" i="34"/>
  <c r="H59" i="33" s="1"/>
  <c r="AS13" i="34"/>
  <c r="M59" i="33" s="1"/>
  <c r="AO13" i="34"/>
  <c r="G59" i="33" s="1"/>
  <c r="AR13" i="34"/>
  <c r="K59" i="33" s="1"/>
  <c r="AN13" i="34"/>
  <c r="D59" i="33" s="1"/>
  <c r="AT14" i="34"/>
  <c r="O60" i="33" s="1"/>
  <c r="AP14" i="34"/>
  <c r="H60" i="33" s="1"/>
  <c r="AS14" i="34"/>
  <c r="M60" i="33" s="1"/>
  <c r="AO14" i="34"/>
  <c r="G60" i="33" s="1"/>
  <c r="AR14" i="34"/>
  <c r="K60" i="33" s="1"/>
  <c r="AN14" i="34"/>
  <c r="D60" i="33" s="1"/>
  <c r="AQ14" i="34"/>
  <c r="I60" i="33" s="1"/>
  <c r="AS6" i="34"/>
  <c r="M52" i="33" s="1"/>
  <c r="AO6" i="34"/>
  <c r="G52" i="33" s="1"/>
  <c r="AQ6" i="34"/>
  <c r="I52" i="33" s="1"/>
  <c r="AP6" i="34"/>
  <c r="H52" i="33" s="1"/>
  <c r="AN6" i="34"/>
  <c r="D52" i="33" s="1"/>
  <c r="AT6" i="34"/>
  <c r="O52" i="33" s="1"/>
  <c r="AR6" i="34"/>
  <c r="K52" i="33" s="1"/>
  <c r="AS19" i="34"/>
  <c r="AO19" i="34"/>
  <c r="AR19" i="34"/>
  <c r="AN19" i="34"/>
  <c r="AQ19" i="34"/>
  <c r="AT19" i="34"/>
  <c r="AP19" i="34"/>
  <c r="AR12" i="34"/>
  <c r="K58" i="33" s="1"/>
  <c r="AN12" i="34"/>
  <c r="D58" i="33" s="1"/>
  <c r="AQ12" i="34"/>
  <c r="I58" i="33" s="1"/>
  <c r="AT12" i="34"/>
  <c r="O58" i="33" s="1"/>
  <c r="AP12" i="34"/>
  <c r="H58" i="33" s="1"/>
  <c r="AS12" i="34"/>
  <c r="M58" i="33" s="1"/>
  <c r="AO12" i="34"/>
  <c r="G58" i="33" s="1"/>
  <c r="AQ17" i="34"/>
  <c r="AT17" i="34"/>
  <c r="AP17" i="34"/>
  <c r="AS17" i="34"/>
  <c r="AO17" i="34"/>
  <c r="AR17" i="34"/>
  <c r="AN17" i="34"/>
  <c r="M50" i="34" l="1"/>
  <c r="O62" i="33" s="1"/>
  <c r="M78" i="34"/>
  <c r="O63" i="33" s="1"/>
  <c r="G64" i="33"/>
  <c r="M64" i="33"/>
  <c r="O64" i="33" l="1"/>
  <c r="I69" i="33" s="1"/>
  <c r="I72" i="33" s="1"/>
  <c r="I76" i="33" s="1"/>
  <c r="I77" i="33" s="1"/>
  <c r="M77" i="33" s="1"/>
  <c r="M76" i="33" l="1"/>
  <c r="AQ8" i="29"/>
  <c r="AP8" i="29"/>
  <c r="AO8" i="29"/>
  <c r="AO29" i="29"/>
  <c r="BA29" i="29" s="1"/>
  <c r="AN8" i="29"/>
  <c r="AM8" i="29"/>
  <c r="AL8" i="29"/>
  <c r="AK8" i="29"/>
  <c r="AK29" i="29"/>
  <c r="AW29" i="29" s="1"/>
  <c r="AJ8" i="29"/>
  <c r="AI8" i="29"/>
  <c r="AH8" i="29"/>
  <c r="AG8" i="29"/>
  <c r="AG29" i="29"/>
  <c r="AS29" i="29" s="1"/>
  <c r="AF8" i="29"/>
  <c r="AR30" i="29"/>
  <c r="Q39" i="29"/>
  <c r="P39" i="29"/>
  <c r="O39" i="29"/>
  <c r="N39" i="29"/>
  <c r="M39" i="29"/>
  <c r="L39" i="29"/>
  <c r="L41" i="29" s="1" a="1"/>
  <c r="L41" i="29" s="1"/>
  <c r="AL7" i="29" s="1"/>
  <c r="K39" i="29"/>
  <c r="J39" i="29"/>
  <c r="I39" i="29"/>
  <c r="H39" i="29"/>
  <c r="G39" i="29"/>
  <c r="Q37" i="29"/>
  <c r="P37" i="29"/>
  <c r="O37" i="29"/>
  <c r="O41" i="29" s="1" a="1"/>
  <c r="O41" i="29" s="1"/>
  <c r="AO7" i="29" s="1"/>
  <c r="N37" i="29"/>
  <c r="M37" i="29"/>
  <c r="L37" i="29"/>
  <c r="K37" i="29"/>
  <c r="K40" i="29" s="1" a="1"/>
  <c r="K40" i="29" s="1"/>
  <c r="J37" i="29"/>
  <c r="I37" i="29"/>
  <c r="H37" i="29"/>
  <c r="G37" i="29"/>
  <c r="Q35" i="29"/>
  <c r="P35" i="29"/>
  <c r="O35" i="29"/>
  <c r="N35" i="29"/>
  <c r="N41" i="29" s="1" a="1"/>
  <c r="N41" i="29" s="1"/>
  <c r="AN7" i="29" s="1"/>
  <c r="M35" i="29"/>
  <c r="L35" i="29"/>
  <c r="K35" i="29"/>
  <c r="J35" i="29"/>
  <c r="J41" i="29" s="1" a="1"/>
  <c r="J41" i="29" s="1"/>
  <c r="AJ7" i="29" s="1"/>
  <c r="AJ11" i="29" s="1"/>
  <c r="AV11" i="29" s="1"/>
  <c r="I35" i="29"/>
  <c r="H35" i="29"/>
  <c r="G35" i="29"/>
  <c r="F39" i="29"/>
  <c r="F40" i="29" s="1" a="1"/>
  <c r="F40" i="29" s="1"/>
  <c r="F37" i="29"/>
  <c r="F35" i="29"/>
  <c r="AQ6" i="29"/>
  <c r="AP6" i="29"/>
  <c r="AO6" i="29"/>
  <c r="AN6" i="29"/>
  <c r="AM6" i="29"/>
  <c r="AL6" i="29"/>
  <c r="AK6" i="29"/>
  <c r="AJ6" i="29"/>
  <c r="AI6" i="29"/>
  <c r="AH6" i="29"/>
  <c r="AG6" i="29"/>
  <c r="AF6" i="29"/>
  <c r="AB41" i="29"/>
  <c r="Z41" i="29"/>
  <c r="AB40" i="29"/>
  <c r="Z40" i="29"/>
  <c r="AD40" i="29" s="1"/>
  <c r="AB39" i="29"/>
  <c r="AE39" i="29"/>
  <c r="Z39" i="29"/>
  <c r="AD39" i="29" s="1"/>
  <c r="AM39" i="29"/>
  <c r="AY39" i="29" s="1"/>
  <c r="AB38" i="29"/>
  <c r="Z38" i="29"/>
  <c r="AB37" i="29"/>
  <c r="AD37" i="29" s="1"/>
  <c r="Z37" i="29"/>
  <c r="AB36" i="29"/>
  <c r="Z36" i="29"/>
  <c r="AB35" i="29"/>
  <c r="Z35" i="29"/>
  <c r="AB34" i="29"/>
  <c r="AD34" i="29" s="1"/>
  <c r="Z34" i="29"/>
  <c r="AB33" i="29"/>
  <c r="AD33" i="29"/>
  <c r="Z33" i="29"/>
  <c r="AB32" i="29"/>
  <c r="Z32" i="29"/>
  <c r="AQ32" i="29"/>
  <c r="BC32" i="29" s="1"/>
  <c r="AB31" i="29"/>
  <c r="AE31" i="29"/>
  <c r="Z31" i="29"/>
  <c r="AN31" i="29" s="1"/>
  <c r="AZ31" i="29" s="1"/>
  <c r="AB30" i="29"/>
  <c r="Z30" i="29"/>
  <c r="AF30" i="29" s="1"/>
  <c r="AD30" i="29"/>
  <c r="AB29" i="29"/>
  <c r="AD29" i="29" s="1"/>
  <c r="Z29" i="29"/>
  <c r="AB28" i="29"/>
  <c r="AE28" i="29" s="1"/>
  <c r="Z28" i="29"/>
  <c r="AD27" i="29"/>
  <c r="AB25" i="29"/>
  <c r="Z25" i="29"/>
  <c r="AB24" i="29"/>
  <c r="Z24" i="29"/>
  <c r="AD24" i="29"/>
  <c r="AB23" i="29"/>
  <c r="Z23" i="29"/>
  <c r="AD23" i="29"/>
  <c r="AB22" i="29"/>
  <c r="Z22" i="29"/>
  <c r="AB21" i="29"/>
  <c r="Z21" i="29"/>
  <c r="AB20" i="29"/>
  <c r="Z20" i="29"/>
  <c r="AD20" i="29"/>
  <c r="AB19" i="29"/>
  <c r="Z19" i="29"/>
  <c r="AB18" i="29"/>
  <c r="AD18" i="29"/>
  <c r="Z18" i="29"/>
  <c r="AB17" i="29"/>
  <c r="Z17" i="29"/>
  <c r="AB16" i="29"/>
  <c r="Z16" i="29"/>
  <c r="AB15" i="29"/>
  <c r="AD15" i="29" s="1"/>
  <c r="Z15" i="29"/>
  <c r="AB14" i="29"/>
  <c r="Z14" i="29"/>
  <c r="AD14" i="29"/>
  <c r="AB13" i="29"/>
  <c r="Z13" i="29"/>
  <c r="AB12" i="29"/>
  <c r="AD12" i="29"/>
  <c r="Z12" i="29"/>
  <c r="AD11" i="29"/>
  <c r="AE41" i="29"/>
  <c r="AE40" i="29"/>
  <c r="AE38" i="29"/>
  <c r="AE36" i="29"/>
  <c r="AE35" i="29"/>
  <c r="AE34" i="29"/>
  <c r="AE33" i="29"/>
  <c r="AE32" i="29"/>
  <c r="AE30" i="29"/>
  <c r="AE27" i="29"/>
  <c r="AE24" i="29"/>
  <c r="AE23" i="29"/>
  <c r="AE20" i="29"/>
  <c r="AE18" i="29"/>
  <c r="AE14" i="29"/>
  <c r="AE12" i="29"/>
  <c r="AE11" i="29"/>
  <c r="Q33" i="29"/>
  <c r="P33" i="29"/>
  <c r="O33" i="29"/>
  <c r="N33" i="29"/>
  <c r="M33" i="29"/>
  <c r="L33" i="29"/>
  <c r="K33" i="29"/>
  <c r="J33" i="29"/>
  <c r="I33" i="29"/>
  <c r="H33" i="29"/>
  <c r="G33" i="29"/>
  <c r="F33" i="29"/>
  <c r="Q31" i="29"/>
  <c r="P31" i="29"/>
  <c r="O31" i="29"/>
  <c r="N31" i="29"/>
  <c r="M31" i="29"/>
  <c r="L31" i="29"/>
  <c r="K31" i="29"/>
  <c r="J31" i="29"/>
  <c r="I31" i="29"/>
  <c r="H31" i="29"/>
  <c r="G31" i="29"/>
  <c r="F31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Q27" i="29"/>
  <c r="P27" i="29"/>
  <c r="O27" i="29"/>
  <c r="N27" i="29"/>
  <c r="M27" i="29"/>
  <c r="L27" i="29"/>
  <c r="K27" i="29"/>
  <c r="J27" i="29"/>
  <c r="I27" i="29"/>
  <c r="H27" i="29"/>
  <c r="G27" i="29"/>
  <c r="F27" i="29"/>
  <c r="Q25" i="29"/>
  <c r="P25" i="29"/>
  <c r="O25" i="29"/>
  <c r="N25" i="29"/>
  <c r="M25" i="29"/>
  <c r="L25" i="29"/>
  <c r="K25" i="29"/>
  <c r="J25" i="29"/>
  <c r="I25" i="29"/>
  <c r="H25" i="29"/>
  <c r="G25" i="29"/>
  <c r="F25" i="29"/>
  <c r="Q23" i="29"/>
  <c r="P23" i="29"/>
  <c r="O23" i="29"/>
  <c r="N23" i="29"/>
  <c r="M23" i="29"/>
  <c r="L23" i="29"/>
  <c r="K23" i="29"/>
  <c r="J23" i="29"/>
  <c r="I23" i="29"/>
  <c r="H23" i="29"/>
  <c r="G23" i="29"/>
  <c r="F23" i="29"/>
  <c r="Q21" i="29"/>
  <c r="P21" i="29"/>
  <c r="O21" i="29"/>
  <c r="N21" i="29"/>
  <c r="M21" i="29"/>
  <c r="L21" i="29"/>
  <c r="K21" i="29"/>
  <c r="J21" i="29"/>
  <c r="I21" i="29"/>
  <c r="H21" i="29"/>
  <c r="G21" i="29"/>
  <c r="F21" i="29"/>
  <c r="Q19" i="29"/>
  <c r="P19" i="29"/>
  <c r="O19" i="29"/>
  <c r="N19" i="29"/>
  <c r="M19" i="29"/>
  <c r="L19" i="29"/>
  <c r="K19" i="29"/>
  <c r="J19" i="29"/>
  <c r="I19" i="29"/>
  <c r="H19" i="29"/>
  <c r="G19" i="29"/>
  <c r="F19" i="29"/>
  <c r="Q17" i="29"/>
  <c r="P17" i="29"/>
  <c r="O17" i="29"/>
  <c r="N17" i="29"/>
  <c r="M17" i="29"/>
  <c r="L17" i="29"/>
  <c r="K17" i="29"/>
  <c r="J17" i="29"/>
  <c r="I17" i="29"/>
  <c r="H17" i="29"/>
  <c r="G17" i="29"/>
  <c r="F17" i="29"/>
  <c r="Q15" i="29"/>
  <c r="P15" i="29"/>
  <c r="O15" i="29"/>
  <c r="N15" i="29"/>
  <c r="M15" i="29"/>
  <c r="L15" i="29"/>
  <c r="K15" i="29"/>
  <c r="J15" i="29"/>
  <c r="I15" i="29"/>
  <c r="H15" i="29"/>
  <c r="G15" i="29"/>
  <c r="F15" i="29"/>
  <c r="Q13" i="29"/>
  <c r="P13" i="29"/>
  <c r="O13" i="29"/>
  <c r="N13" i="29"/>
  <c r="M13" i="29"/>
  <c r="L13" i="29"/>
  <c r="K13" i="29"/>
  <c r="J13" i="29"/>
  <c r="I13" i="29"/>
  <c r="H13" i="29"/>
  <c r="G13" i="29"/>
  <c r="F13" i="29"/>
  <c r="Q11" i="29"/>
  <c r="P11" i="29"/>
  <c r="O11" i="29"/>
  <c r="N11" i="29"/>
  <c r="M11" i="29"/>
  <c r="L11" i="29"/>
  <c r="K11" i="29"/>
  <c r="J11" i="29"/>
  <c r="I11" i="29"/>
  <c r="H11" i="29"/>
  <c r="G11" i="29"/>
  <c r="F11" i="29"/>
  <c r="Q9" i="29"/>
  <c r="P9" i="29"/>
  <c r="O9" i="29"/>
  <c r="N9" i="29"/>
  <c r="M9" i="29"/>
  <c r="L9" i="29"/>
  <c r="K9" i="29"/>
  <c r="J9" i="29"/>
  <c r="I9" i="29"/>
  <c r="H9" i="29"/>
  <c r="G9" i="29"/>
  <c r="F9" i="29"/>
  <c r="Q7" i="29"/>
  <c r="P7" i="29"/>
  <c r="O7" i="29"/>
  <c r="N7" i="29"/>
  <c r="M7" i="29"/>
  <c r="L7" i="29"/>
  <c r="K7" i="29"/>
  <c r="J7" i="29"/>
  <c r="I7" i="29"/>
  <c r="H7" i="29"/>
  <c r="G7" i="29"/>
  <c r="F7" i="29"/>
  <c r="AF32" i="29"/>
  <c r="AR32" i="29" s="1"/>
  <c r="AF35" i="29"/>
  <c r="AR35" i="29" s="1"/>
  <c r="AF40" i="29"/>
  <c r="AR40" i="29" s="1"/>
  <c r="AQ29" i="29"/>
  <c r="BC29" i="29" s="1"/>
  <c r="AQ31" i="29"/>
  <c r="BC31" i="29" s="1"/>
  <c r="AQ33" i="29"/>
  <c r="BC33" i="29" s="1"/>
  <c r="AQ34" i="29"/>
  <c r="BC34" i="29" s="1"/>
  <c r="AQ35" i="29"/>
  <c r="BC35" i="29" s="1"/>
  <c r="AQ37" i="29"/>
  <c r="BC37" i="29" s="1"/>
  <c r="AQ39" i="29"/>
  <c r="BC39" i="29" s="1"/>
  <c r="AQ40" i="29"/>
  <c r="BC40" i="29" s="1"/>
  <c r="AQ27" i="29"/>
  <c r="BC27" i="29" s="1"/>
  <c r="AP29" i="29"/>
  <c r="BB29" i="29" s="1"/>
  <c r="AP31" i="29"/>
  <c r="BB31" i="29" s="1"/>
  <c r="AP33" i="29"/>
  <c r="BB33" i="29" s="1"/>
  <c r="AP34" i="29"/>
  <c r="BB34" i="29" s="1"/>
  <c r="AP35" i="29"/>
  <c r="BB35" i="29" s="1"/>
  <c r="AP37" i="29"/>
  <c r="BB37" i="29" s="1"/>
  <c r="AP39" i="29"/>
  <c r="BB39" i="29" s="1"/>
  <c r="AP40" i="29"/>
  <c r="BB40" i="29" s="1"/>
  <c r="AP27" i="29"/>
  <c r="BB27" i="29" s="1"/>
  <c r="AO30" i="29"/>
  <c r="BA30" i="29" s="1"/>
  <c r="AO32" i="29"/>
  <c r="BA32" i="29" s="1"/>
  <c r="AO34" i="29"/>
  <c r="BA34" i="29" s="1"/>
  <c r="AO40" i="29"/>
  <c r="BA40" i="29" s="1"/>
  <c r="AN29" i="29"/>
  <c r="AZ29" i="29" s="1"/>
  <c r="AN33" i="29"/>
  <c r="AZ33" i="29" s="1"/>
  <c r="AN35" i="29"/>
  <c r="AZ35" i="29" s="1"/>
  <c r="AN37" i="29"/>
  <c r="AZ37" i="29" s="1"/>
  <c r="AN39" i="29"/>
  <c r="AZ39" i="29" s="1"/>
  <c r="AN27" i="29"/>
  <c r="AZ27" i="29" s="1"/>
  <c r="AM29" i="29"/>
  <c r="AY29" i="29" s="1"/>
  <c r="AM30" i="29"/>
  <c r="AY30" i="29" s="1"/>
  <c r="AM31" i="29"/>
  <c r="AY31" i="29" s="1"/>
  <c r="AM32" i="29"/>
  <c r="AY32" i="29" s="1"/>
  <c r="AM33" i="29"/>
  <c r="AY33" i="29" s="1"/>
  <c r="AM34" i="29"/>
  <c r="AY34" i="29" s="1"/>
  <c r="AM37" i="29"/>
  <c r="AY37" i="29" s="1"/>
  <c r="AM40" i="29"/>
  <c r="AY40" i="29" s="1"/>
  <c r="AM27" i="29"/>
  <c r="AY27" i="29"/>
  <c r="AL29" i="29"/>
  <c r="AX29" i="29"/>
  <c r="AL31" i="29"/>
  <c r="AX31" i="29" s="1"/>
  <c r="AL33" i="29"/>
  <c r="AX33" i="29" s="1"/>
  <c r="AL34" i="29"/>
  <c r="AX34" i="29" s="1"/>
  <c r="AL35" i="29"/>
  <c r="AX35" i="29" s="1"/>
  <c r="AL37" i="29"/>
  <c r="AX37" i="29" s="1"/>
  <c r="AL39" i="29"/>
  <c r="AX39" i="29"/>
  <c r="AL40" i="29"/>
  <c r="AX40" i="29" s="1"/>
  <c r="AL27" i="29"/>
  <c r="AX27" i="29"/>
  <c r="AK30" i="29"/>
  <c r="AW30" i="29" s="1"/>
  <c r="AK32" i="29"/>
  <c r="AW32" i="29"/>
  <c r="AK34" i="29"/>
  <c r="AW34" i="29" s="1"/>
  <c r="AK40" i="29"/>
  <c r="AW40" i="29"/>
  <c r="AJ29" i="29"/>
  <c r="AV29" i="29"/>
  <c r="AJ31" i="29"/>
  <c r="AV31" i="29" s="1"/>
  <c r="AJ33" i="29"/>
  <c r="AV33" i="29"/>
  <c r="AJ35" i="29"/>
  <c r="AV35" i="29" s="1"/>
  <c r="AJ37" i="29"/>
  <c r="AV37" i="29"/>
  <c r="AJ39" i="29"/>
  <c r="AV39" i="29" s="1"/>
  <c r="AJ27" i="29"/>
  <c r="AV27" i="29"/>
  <c r="AI29" i="29"/>
  <c r="AU29" i="29"/>
  <c r="AI30" i="29"/>
  <c r="AU30" i="29" s="1"/>
  <c r="AI31" i="29"/>
  <c r="AU31" i="29"/>
  <c r="AI32" i="29"/>
  <c r="AU32" i="29" s="1"/>
  <c r="AI33" i="29"/>
  <c r="AU33" i="29"/>
  <c r="AI34" i="29"/>
  <c r="AU34" i="29" s="1"/>
  <c r="AI37" i="29"/>
  <c r="AU37" i="29" s="1"/>
  <c r="AI40" i="29"/>
  <c r="AU40" i="29" s="1"/>
  <c r="AI27" i="29"/>
  <c r="AU27" i="29"/>
  <c r="AH29" i="29"/>
  <c r="AT29" i="29"/>
  <c r="AH31" i="29"/>
  <c r="AT31" i="29" s="1"/>
  <c r="AH33" i="29"/>
  <c r="AT33" i="29"/>
  <c r="AH34" i="29"/>
  <c r="AT34" i="29" s="1"/>
  <c r="AH35" i="29"/>
  <c r="AT35" i="29"/>
  <c r="AH37" i="29"/>
  <c r="AT37" i="29" s="1"/>
  <c r="AH39" i="29"/>
  <c r="AT39" i="29" s="1"/>
  <c r="AH40" i="29"/>
  <c r="AT40" i="29"/>
  <c r="AH27" i="29"/>
  <c r="AT27" i="29" s="1"/>
  <c r="AG30" i="29"/>
  <c r="AS30" i="29"/>
  <c r="AG32" i="29"/>
  <c r="AS32" i="29" s="1"/>
  <c r="AG34" i="29"/>
  <c r="AS34" i="29"/>
  <c r="AG40" i="29"/>
  <c r="AS40" i="29" s="1"/>
  <c r="I40" i="29" a="1"/>
  <c r="I40" i="29" s="1"/>
  <c r="Q41" i="29" a="1"/>
  <c r="Q41" i="29"/>
  <c r="AQ7" i="29" s="1"/>
  <c r="I41" i="29" a="1"/>
  <c r="AJ16" i="29"/>
  <c r="AV16" i="29" s="1"/>
  <c r="AJ19" i="29"/>
  <c r="AV19" i="29" s="1"/>
  <c r="AJ24" i="29"/>
  <c r="AV24" i="29" s="1"/>
  <c r="AL24" i="29"/>
  <c r="AX24" i="29" s="1"/>
  <c r="M41" i="29" a="1"/>
  <c r="M41" i="29" s="1"/>
  <c r="AM7" i="29" s="1"/>
  <c r="AM12" i="29" s="1"/>
  <c r="AY12" i="29" s="1"/>
  <c r="AM17" i="29"/>
  <c r="AY17" i="29" s="1"/>
  <c r="AM25" i="29"/>
  <c r="AY25" i="29" s="1"/>
  <c r="AO13" i="29"/>
  <c r="BA13" i="29" s="1"/>
  <c r="AO21" i="29"/>
  <c r="BA21" i="29" s="1"/>
  <c r="P41" i="29" a="1"/>
  <c r="P41" i="29" s="1"/>
  <c r="AP7" i="29" s="1"/>
  <c r="I41" i="29"/>
  <c r="AI7" i="29"/>
  <c r="AI12" i="29" s="1"/>
  <c r="AU12" i="29" s="1"/>
  <c r="AO11" i="29"/>
  <c r="BA11" i="29" s="1"/>
  <c r="J40" i="29" a="1"/>
  <c r="J40" i="29" s="1"/>
  <c r="L40" i="29" a="1"/>
  <c r="L40" i="29" s="1"/>
  <c r="M40" i="29" a="1"/>
  <c r="M40" i="29" s="1"/>
  <c r="N40" i="29" a="1"/>
  <c r="N40" i="29" s="1"/>
  <c r="O40" i="29" a="1"/>
  <c r="O40" i="29" s="1"/>
  <c r="P40" i="29" a="1"/>
  <c r="P40" i="29" s="1"/>
  <c r="Q40" i="29" a="1"/>
  <c r="Q40" i="29" s="1"/>
  <c r="AL11" i="29"/>
  <c r="AX11" i="29" s="1"/>
  <c r="AL13" i="29"/>
  <c r="AX13" i="29" s="1"/>
  <c r="AL15" i="29"/>
  <c r="AX15" i="29" s="1"/>
  <c r="AL17" i="29"/>
  <c r="AX17" i="29" s="1"/>
  <c r="AL21" i="29"/>
  <c r="AX21" i="29" s="1"/>
  <c r="AL23" i="29"/>
  <c r="AX23" i="29" s="1"/>
  <c r="AN24" i="29"/>
  <c r="AZ24" i="29" s="1"/>
  <c r="AN16" i="29"/>
  <c r="AZ16" i="29" s="1"/>
  <c r="AL22" i="29"/>
  <c r="AX22" i="29" s="1"/>
  <c r="AL14" i="29"/>
  <c r="AX14" i="29"/>
  <c r="AP11" i="29"/>
  <c r="BB11" i="29" s="1"/>
  <c r="AP13" i="29"/>
  <c r="BB13" i="29" s="1"/>
  <c r="AP15" i="29"/>
  <c r="BB15" i="29"/>
  <c r="AP19" i="29"/>
  <c r="BB19" i="29"/>
  <c r="AP21" i="29"/>
  <c r="BB21" i="29" s="1"/>
  <c r="AP25" i="29"/>
  <c r="BB25" i="29" s="1"/>
  <c r="AP18" i="29"/>
  <c r="BB18" i="29" s="1"/>
  <c r="AO19" i="29"/>
  <c r="BA19" i="29" s="1"/>
  <c r="AN22" i="29"/>
  <c r="AZ22" i="29" s="1"/>
  <c r="AL12" i="29"/>
  <c r="AX12" i="29" s="1"/>
  <c r="AN13" i="29"/>
  <c r="AZ13" i="29" s="1"/>
  <c r="AN15" i="29"/>
  <c r="AZ15" i="29" s="1"/>
  <c r="AN17" i="29"/>
  <c r="AZ17" i="29" s="1"/>
  <c r="AN19" i="29"/>
  <c r="AZ19" i="29"/>
  <c r="AN23" i="29"/>
  <c r="AZ23" i="29"/>
  <c r="AN25" i="29"/>
  <c r="AZ25" i="29" s="1"/>
  <c r="AO12" i="29"/>
  <c r="BA12" i="29" s="1"/>
  <c r="AO14" i="29"/>
  <c r="BA14" i="29" s="1"/>
  <c r="AO16" i="29"/>
  <c r="BA16" i="29" s="1"/>
  <c r="AO18" i="29"/>
  <c r="BA18" i="29" s="1"/>
  <c r="AO20" i="29"/>
  <c r="BA20" i="29"/>
  <c r="AO22" i="29"/>
  <c r="BA22" i="29" s="1"/>
  <c r="AO24" i="29"/>
  <c r="BA24" i="29" s="1"/>
  <c r="AO25" i="29"/>
  <c r="BA25" i="29" s="1"/>
  <c r="AO17" i="29"/>
  <c r="BA17" i="29" s="1"/>
  <c r="AN12" i="29"/>
  <c r="AZ12" i="29" s="1"/>
  <c r="AL18" i="29"/>
  <c r="AX18" i="29" s="1"/>
  <c r="AQ12" i="29"/>
  <c r="BC12" i="29" s="1"/>
  <c r="AQ14" i="29"/>
  <c r="BC14" i="29" s="1"/>
  <c r="AQ16" i="29"/>
  <c r="BC16" i="29"/>
  <c r="AQ18" i="29"/>
  <c r="BC18" i="29" s="1"/>
  <c r="AQ20" i="29"/>
  <c r="BC20" i="29" s="1"/>
  <c r="AQ22" i="29"/>
  <c r="BC22" i="29" s="1"/>
  <c r="AQ24" i="29"/>
  <c r="BC24" i="29"/>
  <c r="AQ11" i="29"/>
  <c r="BC11" i="29" s="1"/>
  <c r="AQ13" i="29"/>
  <c r="BC13" i="29" s="1"/>
  <c r="AQ15" i="29"/>
  <c r="BC15" i="29" s="1"/>
  <c r="AQ17" i="29"/>
  <c r="BC17" i="29" s="1"/>
  <c r="AQ19" i="29"/>
  <c r="BC19" i="29" s="1"/>
  <c r="AQ21" i="29"/>
  <c r="BC21" i="29"/>
  <c r="AQ23" i="29"/>
  <c r="BC23" i="29" s="1"/>
  <c r="AQ25" i="29"/>
  <c r="BC25" i="29"/>
  <c r="AM24" i="29"/>
  <c r="AY24" i="29" s="1"/>
  <c r="AM20" i="29"/>
  <c r="AY20" i="29" s="1"/>
  <c r="AJ18" i="29"/>
  <c r="AV18" i="29" s="1"/>
  <c r="AJ13" i="29"/>
  <c r="AV13" i="29" s="1"/>
  <c r="AI24" i="29"/>
  <c r="AU24" i="29" s="1"/>
  <c r="AI21" i="29"/>
  <c r="AU21" i="29" s="1"/>
  <c r="AI16" i="29"/>
  <c r="AU16" i="29"/>
  <c r="AI13" i="29"/>
  <c r="AU13" i="29" s="1"/>
  <c r="AJ23" i="29"/>
  <c r="AV23" i="29" s="1"/>
  <c r="AJ20" i="29"/>
  <c r="AV20" i="29" s="1"/>
  <c r="AJ15" i="29"/>
  <c r="AV15" i="29" s="1"/>
  <c r="AI23" i="29"/>
  <c r="AU23" i="29" s="1"/>
  <c r="AI18" i="29"/>
  <c r="AU18" i="29" s="1"/>
  <c r="AD25" i="29"/>
  <c r="AE25" i="29"/>
  <c r="AE37" i="29"/>
  <c r="AD21" i="29"/>
  <c r="AE21" i="29"/>
  <c r="AD36" i="29"/>
  <c r="AQ30" i="29"/>
  <c r="BC30" i="29"/>
  <c r="AF27" i="29"/>
  <c r="AR27" i="29" s="1"/>
  <c r="AF37" i="29"/>
  <c r="AR37" i="29"/>
  <c r="AF34" i="29"/>
  <c r="AR34" i="29" s="1"/>
  <c r="AF29" i="29"/>
  <c r="AR29" i="29"/>
  <c r="AD17" i="29"/>
  <c r="AE17" i="29"/>
  <c r="AD31" i="29"/>
  <c r="AD32" i="29"/>
  <c r="AG27" i="29"/>
  <c r="AS27" i="29" s="1"/>
  <c r="AG39" i="29"/>
  <c r="AS39" i="29"/>
  <c r="AG37" i="29"/>
  <c r="AS37" i="29" s="1"/>
  <c r="AG35" i="29"/>
  <c r="AS35" i="29"/>
  <c r="AG33" i="29"/>
  <c r="AS33" i="29" s="1"/>
  <c r="AG31" i="29"/>
  <c r="AS31" i="29"/>
  <c r="AH36" i="29"/>
  <c r="AT36" i="29" s="1"/>
  <c r="AH32" i="29"/>
  <c r="AT32" i="29"/>
  <c r="AH30" i="29"/>
  <c r="AT30" i="29" s="1"/>
  <c r="AI39" i="29"/>
  <c r="AU39" i="29" s="1"/>
  <c r="AI35" i="29"/>
  <c r="AU35" i="29"/>
  <c r="AJ41" i="29"/>
  <c r="AV41" i="29" s="1"/>
  <c r="AJ40" i="29"/>
  <c r="AV40" i="29"/>
  <c r="AJ38" i="29"/>
  <c r="AV38" i="29" s="1"/>
  <c r="AJ34" i="29"/>
  <c r="AV34" i="29"/>
  <c r="AJ32" i="29"/>
  <c r="AV32" i="29"/>
  <c r="AJ30" i="29"/>
  <c r="AV30" i="29"/>
  <c r="AK27" i="29"/>
  <c r="AW27" i="29"/>
  <c r="AK39" i="29"/>
  <c r="AW39" i="29"/>
  <c r="AK37" i="29"/>
  <c r="AW37" i="29"/>
  <c r="AK35" i="29"/>
  <c r="AW35" i="29"/>
  <c r="AK33" i="29"/>
  <c r="AW33" i="29"/>
  <c r="AK31" i="29"/>
  <c r="AW31" i="29"/>
  <c r="AL36" i="29"/>
  <c r="AX36" i="29" s="1"/>
  <c r="AL32" i="29"/>
  <c r="AX32" i="29"/>
  <c r="AL30" i="29"/>
  <c r="AX30" i="29" s="1"/>
  <c r="AN40" i="29"/>
  <c r="AZ40" i="29"/>
  <c r="AN36" i="29"/>
  <c r="AZ36" i="29"/>
  <c r="AN34" i="29"/>
  <c r="AZ34" i="29"/>
  <c r="AN32" i="29"/>
  <c r="AZ32" i="29"/>
  <c r="AN30" i="29"/>
  <c r="AZ30" i="29"/>
  <c r="AO27" i="29"/>
  <c r="BA27" i="29"/>
  <c r="AO39" i="29"/>
  <c r="BA39" i="29"/>
  <c r="AO37" i="29"/>
  <c r="BA37" i="29"/>
  <c r="AO35" i="29"/>
  <c r="BA35" i="29"/>
  <c r="AO33" i="29"/>
  <c r="BA33" i="29"/>
  <c r="AO31" i="29"/>
  <c r="BA31" i="29"/>
  <c r="AP32" i="29"/>
  <c r="BB32" i="29"/>
  <c r="AP30" i="29"/>
  <c r="BB30" i="29"/>
  <c r="AF39" i="29"/>
  <c r="AR39" i="29"/>
  <c r="AF31" i="29"/>
  <c r="AR31" i="29"/>
  <c r="AD13" i="29"/>
  <c r="AE13" i="29"/>
  <c r="AF41" i="29"/>
  <c r="AR41" i="29"/>
  <c r="AF38" i="29"/>
  <c r="AR38" i="29" s="1"/>
  <c r="AF33" i="29"/>
  <c r="AR33" i="29" s="1"/>
  <c r="F41" i="29" a="1"/>
  <c r="F41" i="29" s="1"/>
  <c r="AF7" i="29" s="1"/>
  <c r="F47" i="29"/>
  <c r="AF14" i="29" l="1"/>
  <c r="AR14" i="29" s="1"/>
  <c r="AF20" i="29"/>
  <c r="AR20" i="29" s="1"/>
  <c r="AF13" i="29"/>
  <c r="AR13" i="29" s="1"/>
  <c r="AF21" i="29"/>
  <c r="AR21" i="29" s="1"/>
  <c r="AF22" i="29"/>
  <c r="AR22" i="29" s="1"/>
  <c r="AF18" i="29"/>
  <c r="AR18" i="29" s="1"/>
  <c r="AF17" i="29"/>
  <c r="AR17" i="29" s="1"/>
  <c r="AF25" i="29"/>
  <c r="AR25" i="29" s="1"/>
  <c r="AF12" i="29"/>
  <c r="AR12" i="29" s="1"/>
  <c r="AF16" i="29"/>
  <c r="AR16" i="29" s="1"/>
  <c r="AF24" i="29"/>
  <c r="AR24" i="29" s="1"/>
  <c r="AF11" i="29"/>
  <c r="AR11" i="29" s="1"/>
  <c r="AF23" i="29"/>
  <c r="AR23" i="29" s="1"/>
  <c r="AF19" i="29"/>
  <c r="AR19" i="29" s="1"/>
  <c r="AF15" i="29"/>
  <c r="AR15" i="29" s="1"/>
  <c r="AM14" i="29"/>
  <c r="AY14" i="29" s="1"/>
  <c r="AM22" i="29"/>
  <c r="AY22" i="29" s="1"/>
  <c r="AD16" i="29"/>
  <c r="AE16" i="29"/>
  <c r="AN28" i="29"/>
  <c r="AZ28" i="29" s="1"/>
  <c r="AJ28" i="29"/>
  <c r="AV28" i="29" s="1"/>
  <c r="AL28" i="29"/>
  <c r="AX28" i="29" s="1"/>
  <c r="AM28" i="29"/>
  <c r="AY28" i="29" s="1"/>
  <c r="AI28" i="29"/>
  <c r="AU28" i="29" s="1"/>
  <c r="AG28" i="29"/>
  <c r="AS28" i="29" s="1"/>
  <c r="AQ28" i="29"/>
  <c r="BC28" i="29" s="1"/>
  <c r="AO28" i="29"/>
  <c r="BA28" i="29" s="1"/>
  <c r="AP28" i="29"/>
  <c r="BB28" i="29" s="1"/>
  <c r="AK28" i="29"/>
  <c r="AW28" i="29" s="1"/>
  <c r="AH28" i="29"/>
  <c r="AT28" i="29" s="1"/>
  <c r="AD28" i="29"/>
  <c r="AP36" i="29"/>
  <c r="BB36" i="29" s="1"/>
  <c r="AM36" i="29"/>
  <c r="AY36" i="29" s="1"/>
  <c r="AG36" i="29"/>
  <c r="AS36" i="29" s="1"/>
  <c r="AO36" i="29"/>
  <c r="BA36" i="29" s="1"/>
  <c r="AK36" i="29"/>
  <c r="AW36" i="29" s="1"/>
  <c r="AI36" i="29"/>
  <c r="AU36" i="29" s="1"/>
  <c r="AJ36" i="29"/>
  <c r="AV36" i="29" s="1"/>
  <c r="AF36" i="29"/>
  <c r="AR36" i="29" s="1"/>
  <c r="AD38" i="29"/>
  <c r="AP38" i="29"/>
  <c r="BB38" i="29" s="1"/>
  <c r="AK38" i="29"/>
  <c r="AW38" i="29" s="1"/>
  <c r="AQ38" i="29"/>
  <c r="BC38" i="29" s="1"/>
  <c r="AO38" i="29"/>
  <c r="BA38" i="29" s="1"/>
  <c r="AI38" i="29"/>
  <c r="AU38" i="29" s="1"/>
  <c r="AH38" i="29"/>
  <c r="AT38" i="29" s="1"/>
  <c r="AG38" i="29"/>
  <c r="AS38" i="29" s="1"/>
  <c r="AL38" i="29"/>
  <c r="AX38" i="29" s="1"/>
  <c r="AN38" i="29"/>
  <c r="AZ38" i="29" s="1"/>
  <c r="AM38" i="29"/>
  <c r="AY38" i="29" s="1"/>
  <c r="AP41" i="29"/>
  <c r="BB41" i="29" s="1"/>
  <c r="AO41" i="29"/>
  <c r="BA41" i="29" s="1"/>
  <c r="AM41" i="29"/>
  <c r="AY41" i="29" s="1"/>
  <c r="AL41" i="29"/>
  <c r="AX41" i="29" s="1"/>
  <c r="AK41" i="29"/>
  <c r="AW41" i="29" s="1"/>
  <c r="AI41" i="29"/>
  <c r="AU41" i="29" s="1"/>
  <c r="AQ41" i="29"/>
  <c r="BC41" i="29" s="1"/>
  <c r="AH41" i="29"/>
  <c r="AT41" i="29" s="1"/>
  <c r="AG41" i="29"/>
  <c r="AS41" i="29" s="1"/>
  <c r="AN41" i="29"/>
  <c r="AZ41" i="29" s="1"/>
  <c r="AN14" i="29"/>
  <c r="AZ14" i="29" s="1"/>
  <c r="AN18" i="29"/>
  <c r="AZ18" i="29" s="1"/>
  <c r="AN11" i="29"/>
  <c r="AZ11" i="29" s="1"/>
  <c r="AZ43" i="29" s="1"/>
  <c r="N42" i="29" s="1"/>
  <c r="AN21" i="29"/>
  <c r="AZ21" i="29" s="1"/>
  <c r="AN20" i="29"/>
  <c r="AZ20" i="29" s="1"/>
  <c r="AL16" i="29"/>
  <c r="AX16" i="29" s="1"/>
  <c r="AX43" i="29" s="1"/>
  <c r="L42" i="29" s="1"/>
  <c r="AL19" i="29"/>
  <c r="AX19" i="29" s="1"/>
  <c r="AL25" i="29"/>
  <c r="AX25" i="29" s="1"/>
  <c r="AL20" i="29"/>
  <c r="AX20" i="29" s="1"/>
  <c r="AM11" i="29"/>
  <c r="AY11" i="29" s="1"/>
  <c r="AM15" i="29"/>
  <c r="AY15" i="29" s="1"/>
  <c r="AM19" i="29"/>
  <c r="AY19" i="29" s="1"/>
  <c r="AM23" i="29"/>
  <c r="AY23" i="29" s="1"/>
  <c r="AM13" i="29"/>
  <c r="AY13" i="29" s="1"/>
  <c r="AM16" i="29"/>
  <c r="AY16" i="29" s="1"/>
  <c r="AM18" i="29"/>
  <c r="AY18" i="29" s="1"/>
  <c r="AP12" i="29"/>
  <c r="BB12" i="29" s="1"/>
  <c r="AP16" i="29"/>
  <c r="BB16" i="29" s="1"/>
  <c r="AP22" i="29"/>
  <c r="BB22" i="29" s="1"/>
  <c r="AP14" i="29"/>
  <c r="BB14" i="29" s="1"/>
  <c r="BB43" i="29" s="1"/>
  <c r="P42" i="29" s="1"/>
  <c r="AP20" i="29"/>
  <c r="BB20" i="29" s="1"/>
  <c r="AP24" i="29"/>
  <c r="BB24" i="29" s="1"/>
  <c r="AP17" i="29"/>
  <c r="BB17" i="29" s="1"/>
  <c r="AP23" i="29"/>
  <c r="BB23" i="29" s="1"/>
  <c r="AM21" i="29"/>
  <c r="AY21" i="29" s="1"/>
  <c r="AQ36" i="29"/>
  <c r="BC36" i="29" s="1"/>
  <c r="BC43" i="29" s="1"/>
  <c r="Q42" i="29" s="1"/>
  <c r="AJ21" i="29"/>
  <c r="AV21" i="29" s="1"/>
  <c r="K41" i="29" a="1"/>
  <c r="K41" i="29" s="1"/>
  <c r="AK7" i="29" s="1"/>
  <c r="AJ14" i="29"/>
  <c r="AV14" i="29" s="1"/>
  <c r="AJ17" i="29"/>
  <c r="AV17" i="29" s="1"/>
  <c r="AJ22" i="29"/>
  <c r="AV22" i="29" s="1"/>
  <c r="AJ25" i="29"/>
  <c r="AV25" i="29" s="1"/>
  <c r="AJ12" i="29"/>
  <c r="AV12" i="29" s="1"/>
  <c r="G40" i="29" a="1"/>
  <c r="G40" i="29" s="1"/>
  <c r="G41" i="29" a="1"/>
  <c r="G41" i="29" s="1"/>
  <c r="AG7" i="29" s="1"/>
  <c r="AO15" i="29"/>
  <c r="BA15" i="29" s="1"/>
  <c r="BA43" i="29" s="1"/>
  <c r="O42" i="29" s="1"/>
  <c r="AO23" i="29"/>
  <c r="BA23" i="29" s="1"/>
  <c r="H40" i="29" a="1"/>
  <c r="H40" i="29" s="1"/>
  <c r="H41" i="29" a="1"/>
  <c r="H41" i="29" s="1"/>
  <c r="AH7" i="29" s="1"/>
  <c r="AI15" i="29"/>
  <c r="AU15" i="29" s="1"/>
  <c r="AI22" i="29"/>
  <c r="AU22" i="29" s="1"/>
  <c r="AI19" i="29"/>
  <c r="AU19" i="29" s="1"/>
  <c r="AI14" i="29"/>
  <c r="AU14" i="29" s="1"/>
  <c r="AI11" i="29"/>
  <c r="AU11" i="29" s="1"/>
  <c r="AU43" i="29" s="1"/>
  <c r="I42" i="29" s="1"/>
  <c r="AD41" i="29"/>
  <c r="AE29" i="29"/>
  <c r="AD22" i="29"/>
  <c r="AE22" i="29"/>
  <c r="AD35" i="29"/>
  <c r="AM35" i="29"/>
  <c r="AY35" i="29" s="1"/>
  <c r="AI25" i="29"/>
  <c r="AU25" i="29" s="1"/>
  <c r="AI20" i="29"/>
  <c r="AU20" i="29" s="1"/>
  <c r="AI17" i="29"/>
  <c r="AU17" i="29" s="1"/>
  <c r="AE19" i="29"/>
  <c r="AD19" i="29"/>
  <c r="AF28" i="29"/>
  <c r="AR28" i="29" s="1"/>
  <c r="AE15" i="29"/>
  <c r="AH24" i="29" l="1"/>
  <c r="AT24" i="29" s="1"/>
  <c r="AH14" i="29"/>
  <c r="AT14" i="29" s="1"/>
  <c r="AH15" i="29"/>
  <c r="AT15" i="29" s="1"/>
  <c r="AH13" i="29"/>
  <c r="AT13" i="29" s="1"/>
  <c r="AH25" i="29"/>
  <c r="AT25" i="29" s="1"/>
  <c r="AH21" i="29"/>
  <c r="AT21" i="29" s="1"/>
  <c r="AH17" i="29"/>
  <c r="AT17" i="29" s="1"/>
  <c r="AH19" i="29"/>
  <c r="AT19" i="29" s="1"/>
  <c r="AH16" i="29"/>
  <c r="AT16" i="29" s="1"/>
  <c r="AH22" i="29"/>
  <c r="AT22" i="29" s="1"/>
  <c r="AH18" i="29"/>
  <c r="AT18" i="29" s="1"/>
  <c r="AH23" i="29"/>
  <c r="AT23" i="29" s="1"/>
  <c r="AH12" i="29"/>
  <c r="AT12" i="29" s="1"/>
  <c r="AH20" i="29"/>
  <c r="AT20" i="29" s="1"/>
  <c r="AH11" i="29"/>
  <c r="AT11" i="29" s="1"/>
  <c r="AT43" i="29" s="1"/>
  <c r="H42" i="29" s="1"/>
  <c r="AG23" i="29"/>
  <c r="AS23" i="29" s="1"/>
  <c r="AG13" i="29"/>
  <c r="AS13" i="29" s="1"/>
  <c r="AG24" i="29"/>
  <c r="AS24" i="29" s="1"/>
  <c r="AG12" i="29"/>
  <c r="AS12" i="29" s="1"/>
  <c r="AG25" i="29"/>
  <c r="AS25" i="29" s="1"/>
  <c r="AG15" i="29"/>
  <c r="AS15" i="29" s="1"/>
  <c r="AG21" i="29"/>
  <c r="AS21" i="29" s="1"/>
  <c r="AG19" i="29"/>
  <c r="AS19" i="29" s="1"/>
  <c r="AG16" i="29"/>
  <c r="AS16" i="29" s="1"/>
  <c r="AG11" i="29"/>
  <c r="AS11" i="29" s="1"/>
  <c r="AG14" i="29"/>
  <c r="AS14" i="29" s="1"/>
  <c r="AG22" i="29"/>
  <c r="AS22" i="29" s="1"/>
  <c r="AG20" i="29"/>
  <c r="AS20" i="29" s="1"/>
  <c r="AG17" i="29"/>
  <c r="AS17" i="29" s="1"/>
  <c r="AG18" i="29"/>
  <c r="AS18" i="29" s="1"/>
  <c r="AR43" i="29"/>
  <c r="F42" i="29" s="1"/>
  <c r="F48" i="29" s="1"/>
  <c r="AV43" i="29"/>
  <c r="J42" i="29" s="1"/>
  <c r="AY43" i="29"/>
  <c r="M42" i="29" s="1"/>
  <c r="AK15" i="29"/>
  <c r="AW15" i="29" s="1"/>
  <c r="AK12" i="29"/>
  <c r="AW12" i="29" s="1"/>
  <c r="AK21" i="29"/>
  <c r="AW21" i="29" s="1"/>
  <c r="AK19" i="29"/>
  <c r="AW19" i="29" s="1"/>
  <c r="AK20" i="29"/>
  <c r="AW20" i="29" s="1"/>
  <c r="AK13" i="29"/>
  <c r="AW13" i="29" s="1"/>
  <c r="AK11" i="29"/>
  <c r="AW11" i="29" s="1"/>
  <c r="AK16" i="29"/>
  <c r="AW16" i="29" s="1"/>
  <c r="AK24" i="29"/>
  <c r="AW24" i="29" s="1"/>
  <c r="AK18" i="29"/>
  <c r="AW18" i="29" s="1"/>
  <c r="AK25" i="29"/>
  <c r="AW25" i="29" s="1"/>
  <c r="AK23" i="29"/>
  <c r="AW23" i="29" s="1"/>
  <c r="AK14" i="29"/>
  <c r="AW14" i="29" s="1"/>
  <c r="AK17" i="29"/>
  <c r="AW17" i="29" s="1"/>
  <c r="AK22" i="29"/>
  <c r="AW22" i="29" s="1"/>
  <c r="AW43" i="29" l="1"/>
  <c r="K42" i="29" s="1"/>
  <c r="AS43" i="29"/>
  <c r="G42" i="29" s="1"/>
</calcChain>
</file>

<file path=xl/sharedStrings.xml><?xml version="1.0" encoding="utf-8"?>
<sst xmlns="http://schemas.openxmlformats.org/spreadsheetml/2006/main" count="745" uniqueCount="471">
  <si>
    <t>延長(m)</t>
    <rPh sb="0" eb="2">
      <t>エンチョウ</t>
    </rPh>
    <phoneticPr fontId="2"/>
  </si>
  <si>
    <t>流速(m/s)</t>
    <rPh sb="0" eb="2">
      <t>リュウソク</t>
    </rPh>
    <phoneticPr fontId="2"/>
  </si>
  <si>
    <t>口径</t>
    <rPh sb="0" eb="2">
      <t>コウケイ</t>
    </rPh>
    <phoneticPr fontId="2"/>
  </si>
  <si>
    <t>実内径 R</t>
    <rPh sb="0" eb="1">
      <t>ジツ</t>
    </rPh>
    <rPh sb="1" eb="3">
      <t>ナイケイ</t>
    </rPh>
    <phoneticPr fontId="2"/>
  </si>
  <si>
    <t>断面積 A</t>
    <rPh sb="0" eb="3">
      <t>ダンメンセキ</t>
    </rPh>
    <phoneticPr fontId="2"/>
  </si>
  <si>
    <t>仕切弁</t>
    <rPh sb="0" eb="2">
      <t>シキリ</t>
    </rPh>
    <rPh sb="2" eb="3">
      <t>ベン</t>
    </rPh>
    <phoneticPr fontId="2"/>
  </si>
  <si>
    <t>必要水頭</t>
    <rPh sb="0" eb="2">
      <t>ヒツヨウ</t>
    </rPh>
    <rPh sb="2" eb="4">
      <t>スイトウ</t>
    </rPh>
    <phoneticPr fontId="2"/>
  </si>
  <si>
    <t>残水頭</t>
    <rPh sb="0" eb="1">
      <t>ザン</t>
    </rPh>
    <rPh sb="1" eb="3">
      <t>スイトウ</t>
    </rPh>
    <phoneticPr fontId="2"/>
  </si>
  <si>
    <t>本管水圧</t>
    <rPh sb="0" eb="2">
      <t>ホンカン</t>
    </rPh>
    <rPh sb="2" eb="4">
      <t>スイアツ</t>
    </rPh>
    <phoneticPr fontId="2"/>
  </si>
  <si>
    <t>＊延長は、給水装置の直管換算長による。</t>
    <rPh sb="1" eb="3">
      <t>エンチョウ</t>
    </rPh>
    <rPh sb="5" eb="7">
      <t>キュウスイ</t>
    </rPh>
    <rPh sb="7" eb="9">
      <t>ソウチ</t>
    </rPh>
    <rPh sb="10" eb="11">
      <t>チョク</t>
    </rPh>
    <rPh sb="11" eb="12">
      <t>カン</t>
    </rPh>
    <rPh sb="12" eb="14">
      <t>カンサン</t>
    </rPh>
    <rPh sb="14" eb="15">
      <t>チョウ</t>
    </rPh>
    <phoneticPr fontId="2"/>
  </si>
  <si>
    <t>時間</t>
    <rPh sb="0" eb="2">
      <t>ジカン</t>
    </rPh>
    <phoneticPr fontId="2"/>
  </si>
  <si>
    <t>本管水圧</t>
  </si>
  <si>
    <t>同時使用水量（Ｌ/ｓｅｃ）</t>
    <rPh sb="0" eb="2">
      <t>ドウジ</t>
    </rPh>
    <rPh sb="2" eb="4">
      <t>シヨウ</t>
    </rPh>
    <rPh sb="4" eb="6">
      <t>スイリョウ</t>
    </rPh>
    <phoneticPr fontId="2"/>
  </si>
  <si>
    <t>給水装置類の損失水頭の計算</t>
    <rPh sb="0" eb="2">
      <t>キュウスイ</t>
    </rPh>
    <rPh sb="2" eb="4">
      <t>ソウチ</t>
    </rPh>
    <rPh sb="4" eb="5">
      <t>ルイ</t>
    </rPh>
    <rPh sb="6" eb="8">
      <t>ソンシツ</t>
    </rPh>
    <rPh sb="8" eb="10">
      <t>スイトウ</t>
    </rPh>
    <rPh sb="11" eb="13">
      <t>ケイサン</t>
    </rPh>
    <phoneticPr fontId="2"/>
  </si>
  <si>
    <t>合　　計</t>
    <rPh sb="0" eb="1">
      <t>ゴウ</t>
    </rPh>
    <rPh sb="3" eb="4">
      <t>ケイ</t>
    </rPh>
    <phoneticPr fontId="2"/>
  </si>
  <si>
    <t>計画給水の検証</t>
    <rPh sb="0" eb="2">
      <t>ケイカク</t>
    </rPh>
    <rPh sb="2" eb="4">
      <t>キュウスイ</t>
    </rPh>
    <rPh sb="5" eb="7">
      <t>ケンショウ</t>
    </rPh>
    <phoneticPr fontId="2"/>
  </si>
  <si>
    <t>計画必要最少動水圧</t>
    <rPh sb="0" eb="2">
      <t>ケイカク</t>
    </rPh>
    <rPh sb="2" eb="4">
      <t>ヒツヨウ</t>
    </rPh>
    <rPh sb="4" eb="6">
      <t>サイショウ</t>
    </rPh>
    <rPh sb="6" eb="7">
      <t>ドウ</t>
    </rPh>
    <rPh sb="7" eb="9">
      <t>スイアツ</t>
    </rPh>
    <phoneticPr fontId="2"/>
  </si>
  <si>
    <t>給水工事の場所</t>
    <rPh sb="0" eb="2">
      <t>キュウスイ</t>
    </rPh>
    <rPh sb="2" eb="4">
      <t>コウジ</t>
    </rPh>
    <rPh sb="5" eb="7">
      <t>バショ</t>
    </rPh>
    <phoneticPr fontId="2"/>
  </si>
  <si>
    <t>階　　層</t>
    <rPh sb="0" eb="1">
      <t>カイ</t>
    </rPh>
    <rPh sb="3" eb="4">
      <t>ソウ</t>
    </rPh>
    <phoneticPr fontId="2"/>
  </si>
  <si>
    <t>総給水戸数</t>
    <rPh sb="0" eb="1">
      <t>ソウ</t>
    </rPh>
    <rPh sb="1" eb="3">
      <t>キュウスイ</t>
    </rPh>
    <rPh sb="3" eb="5">
      <t>コスウ</t>
    </rPh>
    <phoneticPr fontId="2"/>
  </si>
  <si>
    <t>建 築 名 称</t>
    <rPh sb="0" eb="1">
      <t>ダテ</t>
    </rPh>
    <rPh sb="2" eb="3">
      <t>チク</t>
    </rPh>
    <rPh sb="4" eb="5">
      <t>ナ</t>
    </rPh>
    <rPh sb="6" eb="7">
      <t>ショウ</t>
    </rPh>
    <phoneticPr fontId="2"/>
  </si>
  <si>
    <t>建 築 用 途</t>
    <rPh sb="0" eb="1">
      <t>ダテ</t>
    </rPh>
    <rPh sb="2" eb="3">
      <t>チク</t>
    </rPh>
    <rPh sb="4" eb="5">
      <t>ヨウ</t>
    </rPh>
    <rPh sb="6" eb="7">
      <t>ト</t>
    </rPh>
    <phoneticPr fontId="2"/>
  </si>
  <si>
    <t>計画引き込み管口径</t>
    <rPh sb="0" eb="2">
      <t>ケイカク</t>
    </rPh>
    <rPh sb="2" eb="3">
      <t>ヒ</t>
    </rPh>
    <rPh sb="4" eb="5">
      <t>コ</t>
    </rPh>
    <rPh sb="6" eb="7">
      <t>カン</t>
    </rPh>
    <rPh sb="7" eb="9">
      <t>コウケイ</t>
    </rPh>
    <phoneticPr fontId="2"/>
  </si>
  <si>
    <t>各戸メーター口径</t>
    <rPh sb="0" eb="1">
      <t>カク</t>
    </rPh>
    <rPh sb="1" eb="2">
      <t>コ</t>
    </rPh>
    <rPh sb="6" eb="8">
      <t>コウケイ</t>
    </rPh>
    <phoneticPr fontId="2"/>
  </si>
  <si>
    <t>管口径資料</t>
    <rPh sb="0" eb="1">
      <t>カン</t>
    </rPh>
    <rPh sb="1" eb="3">
      <t>コウケイ</t>
    </rPh>
    <rPh sb="3" eb="5">
      <t>シリョウ</t>
    </rPh>
    <phoneticPr fontId="2"/>
  </si>
  <si>
    <t>実内径(m)</t>
    <rPh sb="0" eb="1">
      <t>ジツ</t>
    </rPh>
    <rPh sb="1" eb="3">
      <t>ナイケイ</t>
    </rPh>
    <phoneticPr fontId="2"/>
  </si>
  <si>
    <t>断面積(㎡)</t>
    <rPh sb="0" eb="3">
      <t>ダンメンセキ</t>
    </rPh>
    <phoneticPr fontId="2"/>
  </si>
  <si>
    <t>給水栓の高さ</t>
    <rPh sb="0" eb="3">
      <t>キュウスイセン</t>
    </rPh>
    <rPh sb="4" eb="5">
      <t>タカ</t>
    </rPh>
    <phoneticPr fontId="2"/>
  </si>
  <si>
    <t>＊給水栓の高さは、本管から３階給水栓までの高さとする。</t>
    <rPh sb="1" eb="4">
      <t>キュウスイセン</t>
    </rPh>
    <rPh sb="5" eb="6">
      <t>タカ</t>
    </rPh>
    <rPh sb="9" eb="11">
      <t>ホンカン</t>
    </rPh>
    <rPh sb="13" eb="15">
      <t>サンカイ</t>
    </rPh>
    <rPh sb="15" eb="18">
      <t>キュウスイセン</t>
    </rPh>
    <rPh sb="21" eb="22">
      <t>タカ</t>
    </rPh>
    <phoneticPr fontId="2"/>
  </si>
  <si>
    <t>分水栓</t>
    <rPh sb="0" eb="1">
      <t>ブン</t>
    </rPh>
    <rPh sb="1" eb="2">
      <t>ミズ</t>
    </rPh>
    <rPh sb="2" eb="3">
      <t>セン</t>
    </rPh>
    <phoneticPr fontId="2"/>
  </si>
  <si>
    <t>損失水頭の直管換算長（ｍ）</t>
    <rPh sb="0" eb="2">
      <t>ソンシツ</t>
    </rPh>
    <rPh sb="2" eb="4">
      <t>スイトウ</t>
    </rPh>
    <rPh sb="5" eb="6">
      <t>チョク</t>
    </rPh>
    <rPh sb="6" eb="7">
      <t>カン</t>
    </rPh>
    <rPh sb="7" eb="9">
      <t>カンサン</t>
    </rPh>
    <rPh sb="9" eb="10">
      <t>チョウ</t>
    </rPh>
    <phoneticPr fontId="2"/>
  </si>
  <si>
    <t>ボール型止水栓</t>
    <rPh sb="3" eb="4">
      <t>ガタ</t>
    </rPh>
    <rPh sb="4" eb="5">
      <t>ト</t>
    </rPh>
    <rPh sb="5" eb="6">
      <t>スイ</t>
    </rPh>
    <rPh sb="6" eb="7">
      <t>セン</t>
    </rPh>
    <phoneticPr fontId="2"/>
  </si>
  <si>
    <t>業　者　名</t>
    <rPh sb="0" eb="1">
      <t>ギョウ</t>
    </rPh>
    <rPh sb="2" eb="3">
      <t>モノ</t>
    </rPh>
    <rPh sb="4" eb="5">
      <t>メイ</t>
    </rPh>
    <phoneticPr fontId="2"/>
  </si>
  <si>
    <t>個数</t>
    <rPh sb="0" eb="2">
      <t>コスウ</t>
    </rPh>
    <phoneticPr fontId="2"/>
  </si>
  <si>
    <t xml:space="preserve"> 口径(mm)</t>
    <rPh sb="1" eb="3">
      <t>コウケイ</t>
    </rPh>
    <phoneticPr fontId="2"/>
  </si>
  <si>
    <t>～</t>
  </si>
  <si>
    <t>D</t>
    <phoneticPr fontId="2"/>
  </si>
  <si>
    <t>A</t>
    <phoneticPr fontId="2"/>
  </si>
  <si>
    <t>B</t>
    <phoneticPr fontId="2"/>
  </si>
  <si>
    <t>C</t>
    <phoneticPr fontId="2"/>
  </si>
  <si>
    <t>E</t>
    <phoneticPr fontId="2"/>
  </si>
  <si>
    <t>割丁字管</t>
    <rPh sb="0" eb="1">
      <t>ワリ</t>
    </rPh>
    <rPh sb="1" eb="3">
      <t>テイジ</t>
    </rPh>
    <rPh sb="3" eb="4">
      <t>カン</t>
    </rPh>
    <phoneticPr fontId="2"/>
  </si>
  <si>
    <t>F</t>
    <phoneticPr fontId="2"/>
  </si>
  <si>
    <t>G</t>
    <phoneticPr fontId="2"/>
  </si>
  <si>
    <t>H</t>
    <phoneticPr fontId="2"/>
  </si>
  <si>
    <t>分水栓</t>
  </si>
  <si>
    <t>割丁字管</t>
  </si>
  <si>
    <t>仕切弁</t>
  </si>
  <si>
    <t>合　計</t>
    <rPh sb="0" eb="1">
      <t>ゴウ</t>
    </rPh>
    <rPh sb="2" eb="3">
      <t>ケイ</t>
    </rPh>
    <phoneticPr fontId="2"/>
  </si>
  <si>
    <t>逆止弁</t>
    <rPh sb="0" eb="1">
      <t>ギャク</t>
    </rPh>
    <rPh sb="1" eb="2">
      <t>ドメ</t>
    </rPh>
    <rPh sb="2" eb="3">
      <t>ベン</t>
    </rPh>
    <phoneticPr fontId="2"/>
  </si>
  <si>
    <t>器　具　類　損　失　水　頭　計　算　書</t>
    <rPh sb="0" eb="1">
      <t>ウツワ</t>
    </rPh>
    <rPh sb="2" eb="3">
      <t>グ</t>
    </rPh>
    <rPh sb="4" eb="5">
      <t>ルイ</t>
    </rPh>
    <rPh sb="6" eb="7">
      <t>ソン</t>
    </rPh>
    <rPh sb="8" eb="9">
      <t>シツ</t>
    </rPh>
    <rPh sb="10" eb="11">
      <t>ミズ</t>
    </rPh>
    <rPh sb="12" eb="13">
      <t>アタマ</t>
    </rPh>
    <rPh sb="14" eb="15">
      <t>ケイ</t>
    </rPh>
    <rPh sb="16" eb="17">
      <t>サン</t>
    </rPh>
    <rPh sb="18" eb="19">
      <t>ショ</t>
    </rPh>
    <phoneticPr fontId="2"/>
  </si>
  <si>
    <t>I</t>
    <phoneticPr fontId="2"/>
  </si>
  <si>
    <t>流量(L/s)</t>
    <rPh sb="0" eb="2">
      <t>リュウリョウ</t>
    </rPh>
    <phoneticPr fontId="2"/>
  </si>
  <si>
    <t xml:space="preserve"> 口径(㎜)</t>
    <rPh sb="1" eb="3">
      <t>コウケイ</t>
    </rPh>
    <phoneticPr fontId="2"/>
  </si>
  <si>
    <t>損失水頭(m)</t>
    <phoneticPr fontId="2"/>
  </si>
  <si>
    <t>器具類</t>
    <rPh sb="0" eb="2">
      <t>キグ</t>
    </rPh>
    <rPh sb="2" eb="3">
      <t>ルイ</t>
    </rPh>
    <phoneticPr fontId="2"/>
  </si>
  <si>
    <t>器具名称</t>
    <rPh sb="0" eb="2">
      <t>キグ</t>
    </rPh>
    <rPh sb="2" eb="4">
      <t>メイショウ</t>
    </rPh>
    <phoneticPr fontId="2"/>
  </si>
  <si>
    <t>並替え番号</t>
    <rPh sb="0" eb="1">
      <t>ナラ</t>
    </rPh>
    <rPh sb="1" eb="2">
      <t>カ</t>
    </rPh>
    <rPh sb="3" eb="5">
      <t>バンゴウ</t>
    </rPh>
    <phoneticPr fontId="2"/>
  </si>
  <si>
    <t>器具損失計算表並べ替え</t>
    <rPh sb="0" eb="2">
      <t>キグ</t>
    </rPh>
    <rPh sb="2" eb="4">
      <t>ソンシツ</t>
    </rPh>
    <rPh sb="4" eb="6">
      <t>ケイサン</t>
    </rPh>
    <rPh sb="6" eb="7">
      <t>ヒョウ</t>
    </rPh>
    <rPh sb="7" eb="8">
      <t>ナラ</t>
    </rPh>
    <rPh sb="9" eb="10">
      <t>カ</t>
    </rPh>
    <phoneticPr fontId="2"/>
  </si>
  <si>
    <t>継手（エルボ）計</t>
    <rPh sb="0" eb="1">
      <t>ツギ</t>
    </rPh>
    <rPh sb="1" eb="2">
      <t>テ</t>
    </rPh>
    <rPh sb="7" eb="8">
      <t>ケイ</t>
    </rPh>
    <phoneticPr fontId="2"/>
  </si>
  <si>
    <t>継手（チーズ）計</t>
    <rPh sb="0" eb="1">
      <t>ツギ</t>
    </rPh>
    <rPh sb="1" eb="2">
      <t>テ</t>
    </rPh>
    <rPh sb="7" eb="8">
      <t>ケイ</t>
    </rPh>
    <phoneticPr fontId="2"/>
  </si>
  <si>
    <t>区　間</t>
    <rPh sb="0" eb="1">
      <t>ク</t>
    </rPh>
    <rPh sb="2" eb="3">
      <t>カン</t>
    </rPh>
    <phoneticPr fontId="2"/>
  </si>
  <si>
    <t>同時使用率による給水量</t>
    <rPh sb="0" eb="2">
      <t>ドウジ</t>
    </rPh>
    <rPh sb="2" eb="4">
      <t>シヨウ</t>
    </rPh>
    <rPh sb="4" eb="5">
      <t>リツ</t>
    </rPh>
    <rPh sb="8" eb="10">
      <t>キュウスイ</t>
    </rPh>
    <rPh sb="10" eb="11">
      <t>リョウ</t>
    </rPh>
    <phoneticPr fontId="2"/>
  </si>
  <si>
    <t>【入力の解説】</t>
    <rPh sb="1" eb="3">
      <t>ニュウリョク</t>
    </rPh>
    <rPh sb="4" eb="6">
      <t>カイセツ</t>
    </rPh>
    <phoneticPr fontId="2"/>
  </si>
  <si>
    <t>必要なデータを入力します。</t>
    <rPh sb="0" eb="2">
      <t>ヒツヨウ</t>
    </rPh>
    <rPh sb="7" eb="9">
      <t>ニュウリョク</t>
    </rPh>
    <phoneticPr fontId="2"/>
  </si>
  <si>
    <t>無着色のセルには計算式が</t>
    <rPh sb="0" eb="3">
      <t>ムチャクショク</t>
    </rPh>
    <rPh sb="8" eb="10">
      <t>ケイサン</t>
    </rPh>
    <rPh sb="10" eb="11">
      <t>シキ</t>
    </rPh>
    <phoneticPr fontId="2"/>
  </si>
  <si>
    <t>組み込まれています。</t>
    <rPh sb="0" eb="1">
      <t>ク</t>
    </rPh>
    <rPh sb="2" eb="3">
      <t>コ</t>
    </rPh>
    <phoneticPr fontId="2"/>
  </si>
  <si>
    <t>戸建は「３階個人住宅」</t>
    <rPh sb="0" eb="2">
      <t>コダテ</t>
    </rPh>
    <rPh sb="5" eb="6">
      <t>カイ</t>
    </rPh>
    <rPh sb="6" eb="8">
      <t>コジン</t>
    </rPh>
    <rPh sb="8" eb="10">
      <t>ジュウタク</t>
    </rPh>
    <phoneticPr fontId="2"/>
  </si>
  <si>
    <t>共同住宅は「３階共同住宅」</t>
    <rPh sb="0" eb="2">
      <t>キョウドウ</t>
    </rPh>
    <rPh sb="2" eb="4">
      <t>ジュウタク</t>
    </rPh>
    <rPh sb="7" eb="8">
      <t>カイ</t>
    </rPh>
    <rPh sb="8" eb="10">
      <t>キョウドウ</t>
    </rPh>
    <rPh sb="10" eb="12">
      <t>ジュウタク</t>
    </rPh>
    <phoneticPr fontId="2"/>
  </si>
  <si>
    <t>など建物の形態が分かる</t>
    <rPh sb="2" eb="4">
      <t>タテモノ</t>
    </rPh>
    <rPh sb="5" eb="7">
      <t>ケイタイ</t>
    </rPh>
    <rPh sb="8" eb="9">
      <t>ワ</t>
    </rPh>
    <phoneticPr fontId="2"/>
  </si>
  <si>
    <t>「階層→１」は１階の部屋数、</t>
    <rPh sb="1" eb="2">
      <t>カイ</t>
    </rPh>
    <rPh sb="2" eb="3">
      <t>ソウ</t>
    </rPh>
    <rPh sb="8" eb="9">
      <t>カイ</t>
    </rPh>
    <rPh sb="10" eb="12">
      <t>ヘヤ</t>
    </rPh>
    <rPh sb="12" eb="13">
      <t>スウ</t>
    </rPh>
    <phoneticPr fontId="2"/>
  </si>
  <si>
    <t>「階層→２」は２階の部屋数、</t>
    <rPh sb="1" eb="2">
      <t>カイ</t>
    </rPh>
    <rPh sb="2" eb="3">
      <t>ソウ</t>
    </rPh>
    <rPh sb="8" eb="9">
      <t>カイ</t>
    </rPh>
    <rPh sb="10" eb="12">
      <t>ヘヤ</t>
    </rPh>
    <rPh sb="12" eb="13">
      <t>スウ</t>
    </rPh>
    <phoneticPr fontId="2"/>
  </si>
  <si>
    <t>「階層→３」は３階の部屋数、</t>
    <rPh sb="1" eb="2">
      <t>カイ</t>
    </rPh>
    <rPh sb="2" eb="3">
      <t>ソウ</t>
    </rPh>
    <rPh sb="8" eb="9">
      <t>カイ</t>
    </rPh>
    <rPh sb="10" eb="12">
      <t>ヘヤ</t>
    </rPh>
    <rPh sb="12" eb="13">
      <t>スウ</t>
    </rPh>
    <phoneticPr fontId="2"/>
  </si>
  <si>
    <t>言葉を入力します。</t>
    <rPh sb="0" eb="2">
      <t>コトバ</t>
    </rPh>
    <rPh sb="3" eb="5">
      <t>ニュウリョク</t>
    </rPh>
    <phoneticPr fontId="2"/>
  </si>
  <si>
    <t>を入力します。</t>
    <rPh sb="1" eb="3">
      <t>ニュウリョク</t>
    </rPh>
    <phoneticPr fontId="2"/>
  </si>
  <si>
    <t>戸建は「１戸」、共同住宅は</t>
    <rPh sb="0" eb="2">
      <t>コダテ</t>
    </rPh>
    <rPh sb="5" eb="6">
      <t>コ</t>
    </rPh>
    <phoneticPr fontId="2"/>
  </si>
  <si>
    <t>１～３階の部屋合計数を</t>
    <rPh sb="3" eb="4">
      <t>カイ</t>
    </rPh>
    <rPh sb="5" eb="7">
      <t>ヘヤ</t>
    </rPh>
    <rPh sb="7" eb="10">
      <t>ゴウケイスウ</t>
    </rPh>
    <phoneticPr fontId="2"/>
  </si>
  <si>
    <t>入力します。</t>
    <rPh sb="0" eb="2">
      <t>ニュウリョク</t>
    </rPh>
    <phoneticPr fontId="2"/>
  </si>
  <si>
    <t>総給水戸数と右表の戸数に</t>
    <rPh sb="6" eb="7">
      <t>ミギ</t>
    </rPh>
    <rPh sb="7" eb="8">
      <t>ヒョウ</t>
    </rPh>
    <rPh sb="9" eb="11">
      <t>コスウ</t>
    </rPh>
    <phoneticPr fontId="2"/>
  </si>
  <si>
    <t>合う行を見て、同時使用水量</t>
    <rPh sb="0" eb="1">
      <t>ア</t>
    </rPh>
    <rPh sb="2" eb="3">
      <t>ギョウ</t>
    </rPh>
    <rPh sb="4" eb="5">
      <t>ミ</t>
    </rPh>
    <rPh sb="7" eb="9">
      <t>ドウジ</t>
    </rPh>
    <rPh sb="9" eb="11">
      <t>シヨウ</t>
    </rPh>
    <rPh sb="11" eb="13">
      <t>スイリョウ</t>
    </rPh>
    <phoneticPr fontId="2"/>
  </si>
  <si>
    <t>管芯から最高位水栓までの高さ</t>
    <rPh sb="0" eb="1">
      <t>カン</t>
    </rPh>
    <rPh sb="1" eb="2">
      <t>シン</t>
    </rPh>
    <rPh sb="4" eb="7">
      <t>サイコウイ</t>
    </rPh>
    <rPh sb="7" eb="9">
      <t>スイセン</t>
    </rPh>
    <rPh sb="12" eb="13">
      <t>タカ</t>
    </rPh>
    <phoneticPr fontId="2"/>
  </si>
  <si>
    <t>配水本管のセンタから最高位</t>
    <rPh sb="0" eb="2">
      <t>ハイスイ</t>
    </rPh>
    <rPh sb="2" eb="4">
      <t>ホンカン</t>
    </rPh>
    <rPh sb="10" eb="11">
      <t>サイ</t>
    </rPh>
    <rPh sb="11" eb="13">
      <t>コウイ</t>
    </rPh>
    <phoneticPr fontId="2"/>
  </si>
  <si>
    <t>にある水栓などの器具までの</t>
    <rPh sb="3" eb="5">
      <t>スイセン</t>
    </rPh>
    <rPh sb="8" eb="10">
      <t>キグ</t>
    </rPh>
    <phoneticPr fontId="2"/>
  </si>
  <si>
    <t>高さを入力します。</t>
    <rPh sb="0" eb="1">
      <t>タカ</t>
    </rPh>
    <rPh sb="3" eb="5">
      <t>ニュウリョク</t>
    </rPh>
    <phoneticPr fontId="2"/>
  </si>
  <si>
    <t>基本的には操作しないよう</t>
    <rPh sb="0" eb="3">
      <t>キホンテキ</t>
    </rPh>
    <rPh sb="5" eb="7">
      <t>ソウサ</t>
    </rPh>
    <phoneticPr fontId="2"/>
  </si>
  <si>
    <t>お願いします。</t>
    <rPh sb="1" eb="2">
      <t>ネガ</t>
    </rPh>
    <phoneticPr fontId="2"/>
  </si>
  <si>
    <t>○ 「階層」</t>
    <rPh sb="3" eb="4">
      <t>カイ</t>
    </rPh>
    <rPh sb="4" eb="5">
      <t>ソウ</t>
    </rPh>
    <phoneticPr fontId="2"/>
  </si>
  <si>
    <t>○ 「建築用途」</t>
    <rPh sb="3" eb="7">
      <t>ケンチクヨウト</t>
    </rPh>
    <phoneticPr fontId="2"/>
  </si>
  <si>
    <t>また、青色で囲まれた範囲の</t>
    <rPh sb="3" eb="4">
      <t>アオ</t>
    </rPh>
    <rPh sb="4" eb="5">
      <t>イロ</t>
    </rPh>
    <rPh sb="6" eb="7">
      <t>カコ</t>
    </rPh>
    <rPh sb="10" eb="12">
      <t>ハンイ</t>
    </rPh>
    <phoneticPr fontId="2"/>
  </si>
  <si>
    <t>み印刷されます。</t>
    <rPh sb="1" eb="3">
      <t>インサツ</t>
    </rPh>
    <phoneticPr fontId="2"/>
  </si>
  <si>
    <t>見直しが必要です。</t>
    <rPh sb="0" eb="2">
      <t>ミナオ</t>
    </rPh>
    <rPh sb="4" eb="6">
      <t>ヒツヨウ</t>
    </rPh>
    <phoneticPr fontId="2"/>
  </si>
  <si>
    <t>給水器具類の損失水頭</t>
    <rPh sb="0" eb="2">
      <t>キュウスイ</t>
    </rPh>
    <rPh sb="2" eb="4">
      <t>キグ</t>
    </rPh>
    <rPh sb="4" eb="5">
      <t>ルイ</t>
    </rPh>
    <rPh sb="6" eb="8">
      <t>ソンシツ</t>
    </rPh>
    <rPh sb="8" eb="10">
      <t>スイトウ</t>
    </rPh>
    <phoneticPr fontId="2"/>
  </si>
  <si>
    <t>メーター・バルブ類の器具や</t>
    <rPh sb="8" eb="9">
      <t>ルイ</t>
    </rPh>
    <rPh sb="10" eb="12">
      <t>キグ</t>
    </rPh>
    <phoneticPr fontId="2"/>
  </si>
  <si>
    <t>エルボ・チーズの継手類の</t>
    <rPh sb="8" eb="9">
      <t>ツギ</t>
    </rPh>
    <rPh sb="9" eb="10">
      <t>テ</t>
    </rPh>
    <rPh sb="10" eb="11">
      <t>ルイ</t>
    </rPh>
    <phoneticPr fontId="2"/>
  </si>
  <si>
    <t>損失水頭は、次頁のシート</t>
    <rPh sb="0" eb="2">
      <t>ソンシツ</t>
    </rPh>
    <rPh sb="2" eb="4">
      <t>スイトウ</t>
    </rPh>
    <rPh sb="6" eb="8">
      <t>ジページ</t>
    </rPh>
    <phoneticPr fontId="2"/>
  </si>
  <si>
    <t>（このシートの下のｲﾝﾃﾞｯｸｽ</t>
    <rPh sb="7" eb="8">
      <t>シタ</t>
    </rPh>
    <phoneticPr fontId="2"/>
  </si>
  <si>
    <t>「器具損失」をピック）で入力</t>
    <rPh sb="1" eb="3">
      <t>キグ</t>
    </rPh>
    <rPh sb="3" eb="5">
      <t>ソンシツ</t>
    </rPh>
    <rPh sb="12" eb="14">
      <t>ニュウリョク</t>
    </rPh>
    <phoneticPr fontId="2"/>
  </si>
  <si>
    <t>このシートの無着色セルに</t>
    <rPh sb="6" eb="9">
      <t>ムチャクショク</t>
    </rPh>
    <phoneticPr fontId="2"/>
  </si>
  <si>
    <t>直接、個数や口径を入力しても</t>
    <rPh sb="0" eb="2">
      <t>チョクセツ</t>
    </rPh>
    <rPh sb="3" eb="5">
      <t>コスウ</t>
    </rPh>
    <rPh sb="6" eb="8">
      <t>コウケイ</t>
    </rPh>
    <rPh sb="9" eb="11">
      <t>ニュウリョク</t>
    </rPh>
    <phoneticPr fontId="2"/>
  </si>
  <si>
    <t>損失水頭の計算はされないの</t>
    <rPh sb="0" eb="2">
      <t>ソンシツ</t>
    </rPh>
    <rPh sb="2" eb="4">
      <t>スイトウ</t>
    </rPh>
    <rPh sb="5" eb="7">
      <t>ケイサン</t>
    </rPh>
    <phoneticPr fontId="2"/>
  </si>
  <si>
    <t>で、注意ください。</t>
    <rPh sb="2" eb="4">
      <t>チュウイ</t>
    </rPh>
    <phoneticPr fontId="2"/>
  </si>
  <si>
    <t>それぞれの損失水頭が自動</t>
    <rPh sb="5" eb="7">
      <t>ソンシツ</t>
    </rPh>
    <rPh sb="7" eb="9">
      <t>スイトウ</t>
    </rPh>
    <rPh sb="10" eb="12">
      <t>ジドウ</t>
    </rPh>
    <phoneticPr fontId="2"/>
  </si>
  <si>
    <t>出力されます。</t>
    <rPh sb="0" eb="2">
      <t>シュツリョク</t>
    </rPh>
    <phoneticPr fontId="2"/>
  </si>
  <si>
    <t>よって、本表へ直接、数値を</t>
    <rPh sb="4" eb="5">
      <t>ホン</t>
    </rPh>
    <rPh sb="5" eb="6">
      <t>ヒョウ</t>
    </rPh>
    <rPh sb="7" eb="9">
      <t>チョクセツ</t>
    </rPh>
    <rPh sb="10" eb="12">
      <t>スウチ</t>
    </rPh>
    <phoneticPr fontId="2"/>
  </si>
  <si>
    <t>入力しないようにしてください。</t>
    <rPh sb="0" eb="2">
      <t>ニュウリョク</t>
    </rPh>
    <phoneticPr fontId="2"/>
  </si>
  <si>
    <t>水が使用できる末端器具の</t>
    <rPh sb="0" eb="1">
      <t>ミズ</t>
    </rPh>
    <rPh sb="2" eb="4">
      <t>シヨウ</t>
    </rPh>
    <rPh sb="7" eb="9">
      <t>マッタン</t>
    </rPh>
    <rPh sb="9" eb="11">
      <t>キグ</t>
    </rPh>
    <phoneticPr fontId="2"/>
  </si>
  <si>
    <t>必要圧」という意味でシャワー</t>
    <rPh sb="0" eb="2">
      <t>ヒツヨウ</t>
    </rPh>
    <rPh sb="2" eb="3">
      <t>アツ</t>
    </rPh>
    <rPh sb="7" eb="9">
      <t>イミ</t>
    </rPh>
    <phoneticPr fontId="2"/>
  </si>
  <si>
    <t>＝7.00mを設定しています。</t>
    <rPh sb="7" eb="9">
      <t>セッテイ</t>
    </rPh>
    <phoneticPr fontId="2"/>
  </si>
  <si>
    <t>この３つの表に出力された</t>
    <rPh sb="5" eb="6">
      <t>ヒョウ</t>
    </rPh>
    <rPh sb="7" eb="9">
      <t>シュツリョク</t>
    </rPh>
    <phoneticPr fontId="2"/>
  </si>
  <si>
    <t>数値は、ここまで計算された</t>
    <rPh sb="8" eb="10">
      <t>ケイサン</t>
    </rPh>
    <phoneticPr fontId="2"/>
  </si>
  <si>
    <t>一番右の「残水頭」が負（マイ</t>
    <rPh sb="0" eb="2">
      <t>イチバン</t>
    </rPh>
    <rPh sb="2" eb="3">
      <t>ミギ</t>
    </rPh>
    <rPh sb="5" eb="6">
      <t>ザン</t>
    </rPh>
    <rPh sb="6" eb="8">
      <t>スイトウ</t>
    </rPh>
    <rPh sb="10" eb="11">
      <t>フ</t>
    </rPh>
    <phoneticPr fontId="2"/>
  </si>
  <si>
    <t>マイナスならば、配管口径や</t>
    <rPh sb="8" eb="10">
      <t>ハイカン</t>
    </rPh>
    <rPh sb="10" eb="12">
      <t>コウケイ</t>
    </rPh>
    <phoneticPr fontId="2"/>
  </si>
  <si>
    <t>配管ルート、器具数などの</t>
    <rPh sb="0" eb="2">
      <t>ハイカン</t>
    </rPh>
    <rPh sb="6" eb="8">
      <t>キグ</t>
    </rPh>
    <rPh sb="8" eb="9">
      <t>スウ</t>
    </rPh>
    <phoneticPr fontId="2"/>
  </si>
  <si>
    <t>【入力の解説】</t>
  </si>
  <si>
    <t>○ 「総給水戸数」</t>
    <phoneticPr fontId="2"/>
  </si>
  <si>
    <t>○ 「数値入力」</t>
    <rPh sb="3" eb="5">
      <t>スウチ</t>
    </rPh>
    <rPh sb="5" eb="7">
      <t>ニュウリョク</t>
    </rPh>
    <phoneticPr fontId="2"/>
  </si>
  <si>
    <t>器具類・継手類とも口径または</t>
    <rPh sb="0" eb="2">
      <t>キグ</t>
    </rPh>
    <rPh sb="2" eb="3">
      <t>ルイ</t>
    </rPh>
    <rPh sb="4" eb="5">
      <t>ツギ</t>
    </rPh>
    <rPh sb="5" eb="6">
      <t>テ</t>
    </rPh>
    <rPh sb="6" eb="7">
      <t>ルイ</t>
    </rPh>
    <rPh sb="9" eb="11">
      <t>コウケイ</t>
    </rPh>
    <phoneticPr fontId="2"/>
  </si>
  <si>
    <t>例えば、計算の対象となる</t>
    <rPh sb="0" eb="1">
      <t>タト</t>
    </rPh>
    <rPh sb="4" eb="6">
      <t>ケイサン</t>
    </rPh>
    <rPh sb="7" eb="9">
      <t>タイショウ</t>
    </rPh>
    <phoneticPr fontId="2"/>
  </si>
  <si>
    <t>配管ラインにφ40とφ25の</t>
    <rPh sb="0" eb="2">
      <t>ハイカン</t>
    </rPh>
    <phoneticPr fontId="2"/>
  </si>
  <si>
    <t>仕切弁が２つあれば別々の</t>
    <rPh sb="0" eb="2">
      <t>シキ</t>
    </rPh>
    <rPh sb="2" eb="3">
      <t>ベン</t>
    </rPh>
    <rPh sb="9" eb="11">
      <t>ベツベツ</t>
    </rPh>
    <phoneticPr fontId="2"/>
  </si>
  <si>
    <t>行へ入力します。</t>
    <rPh sb="2" eb="4">
      <t>ニュウリョク</t>
    </rPh>
    <phoneticPr fontId="2"/>
  </si>
  <si>
    <t>また、φ25の仕切弁が２ヶで</t>
    <rPh sb="7" eb="9">
      <t>シキ</t>
    </rPh>
    <rPh sb="9" eb="10">
      <t>ベン</t>
    </rPh>
    <phoneticPr fontId="2"/>
  </si>
  <si>
    <t>あっても取付けてある区間の</t>
    <rPh sb="4" eb="6">
      <t>トリツ</t>
    </rPh>
    <rPh sb="10" eb="12">
      <t>クカン</t>
    </rPh>
    <phoneticPr fontId="2"/>
  </si>
  <si>
    <t>流量が異なる場合は、別々の</t>
    <rPh sb="0" eb="2">
      <t>リュウリョウ</t>
    </rPh>
    <rPh sb="3" eb="4">
      <t>コト</t>
    </rPh>
    <rPh sb="6" eb="8">
      <t>バアイ</t>
    </rPh>
    <rPh sb="10" eb="12">
      <t>ベツベツ</t>
    </rPh>
    <phoneticPr fontId="2"/>
  </si>
  <si>
    <t>行へ入力し、それぞれの損失</t>
    <rPh sb="0" eb="1">
      <t>ギョウ</t>
    </rPh>
    <rPh sb="2" eb="4">
      <t>ニュウリョク</t>
    </rPh>
    <rPh sb="11" eb="13">
      <t>ソンシツ</t>
    </rPh>
    <phoneticPr fontId="2"/>
  </si>
  <si>
    <t>水頭を求めていきます。</t>
    <rPh sb="0" eb="2">
      <t>スイトウ</t>
    </rPh>
    <rPh sb="3" eb="4">
      <t>モト</t>
    </rPh>
    <phoneticPr fontId="2"/>
  </si>
  <si>
    <t>口径・流量とも同じ時だけ、</t>
    <rPh sb="0" eb="2">
      <t>コウケイ</t>
    </rPh>
    <rPh sb="3" eb="5">
      <t>リュウリョウ</t>
    </rPh>
    <rPh sb="7" eb="8">
      <t>オナ</t>
    </rPh>
    <rPh sb="9" eb="10">
      <t>トキ</t>
    </rPh>
    <phoneticPr fontId="2"/>
  </si>
  <si>
    <t>個数を「２ヶ」として計算する</t>
    <rPh sb="0" eb="2">
      <t>コスウ</t>
    </rPh>
    <rPh sb="10" eb="12">
      <t>ケイサン</t>
    </rPh>
    <phoneticPr fontId="2"/>
  </si>
  <si>
    <t>○ 「チーズ」の入力</t>
    <rPh sb="8" eb="10">
      <t>ニュウリョク</t>
    </rPh>
    <phoneticPr fontId="2"/>
  </si>
  <si>
    <t>チーズを取付けた分岐点で</t>
    <rPh sb="4" eb="6">
      <t>トリツ</t>
    </rPh>
    <rPh sb="8" eb="11">
      <t>ブンキテン</t>
    </rPh>
    <phoneticPr fontId="2"/>
  </si>
  <si>
    <t>口径や流量がよく変わります。</t>
    <rPh sb="0" eb="2">
      <t>コウケイ</t>
    </rPh>
    <rPh sb="3" eb="5">
      <t>リュウリョウ</t>
    </rPh>
    <rPh sb="8" eb="9">
      <t>カ</t>
    </rPh>
    <phoneticPr fontId="2"/>
  </si>
  <si>
    <t>このような分岐点でのチーズ</t>
    <rPh sb="5" eb="8">
      <t>ブンキテン</t>
    </rPh>
    <phoneticPr fontId="2"/>
  </si>
  <si>
    <t>は、流量の大きいほうの個数に</t>
    <rPh sb="2" eb="4">
      <t>リュウリョウ</t>
    </rPh>
    <rPh sb="5" eb="6">
      <t>オオ</t>
    </rPh>
    <rPh sb="11" eb="13">
      <t>コスウ</t>
    </rPh>
    <phoneticPr fontId="2"/>
  </si>
  <si>
    <t>入れて計算します。</t>
    <rPh sb="0" eb="1">
      <t>イ</t>
    </rPh>
    <rPh sb="3" eb="5">
      <t>ケイサン</t>
    </rPh>
    <phoneticPr fontId="2"/>
  </si>
  <si>
    <t>また、異形チーズは大きいほう</t>
    <rPh sb="9" eb="10">
      <t>オオ</t>
    </rPh>
    <phoneticPr fontId="2"/>
  </si>
  <si>
    <t>の口径で計算（入力）します。</t>
    <rPh sb="1" eb="3">
      <t>コウケイ</t>
    </rPh>
    <rPh sb="4" eb="6">
      <t>ケイサン</t>
    </rPh>
    <rPh sb="7" eb="9">
      <t>ニュウリョク</t>
    </rPh>
    <phoneticPr fontId="2"/>
  </si>
  <si>
    <t>○ 本表の提出</t>
    <rPh sb="2" eb="3">
      <t>ホン</t>
    </rPh>
    <rPh sb="3" eb="4">
      <t>ヒョウ</t>
    </rPh>
    <rPh sb="5" eb="7">
      <t>テイシュツ</t>
    </rPh>
    <phoneticPr fontId="2"/>
  </si>
  <si>
    <t>左の表も青色で着色した範囲</t>
    <rPh sb="0" eb="1">
      <t>ヒダリ</t>
    </rPh>
    <rPh sb="2" eb="3">
      <t>オモテ</t>
    </rPh>
    <rPh sb="4" eb="6">
      <t>アオイロ</t>
    </rPh>
    <rPh sb="7" eb="9">
      <t>チャクショク</t>
    </rPh>
    <rPh sb="11" eb="13">
      <t>ハンイ</t>
    </rPh>
    <phoneticPr fontId="2"/>
  </si>
  <si>
    <t>１ページ目の計算書に本表を</t>
    <rPh sb="4" eb="5">
      <t>メ</t>
    </rPh>
    <rPh sb="6" eb="9">
      <t>ケイサンショ</t>
    </rPh>
    <rPh sb="10" eb="11">
      <t>ホン</t>
    </rPh>
    <rPh sb="11" eb="12">
      <t>ヒョウ</t>
    </rPh>
    <phoneticPr fontId="2"/>
  </si>
  <si>
    <t>(実内径)</t>
    <rPh sb="1" eb="2">
      <t>ジツ</t>
    </rPh>
    <rPh sb="2" eb="4">
      <t>ナイケイ</t>
    </rPh>
    <phoneticPr fontId="2"/>
  </si>
  <si>
    <t>(呼径)</t>
    <rPh sb="1" eb="2">
      <t>ヨ</t>
    </rPh>
    <rPh sb="2" eb="3">
      <t>ケイ</t>
    </rPh>
    <phoneticPr fontId="2"/>
  </si>
  <si>
    <t>呼径 R</t>
    <rPh sb="0" eb="1">
      <t>コ</t>
    </rPh>
    <rPh sb="1" eb="2">
      <t>ケイ</t>
    </rPh>
    <phoneticPr fontId="2"/>
  </si>
  <si>
    <t>（実内径）</t>
    <rPh sb="1" eb="2">
      <t>ジツ</t>
    </rPh>
    <rPh sb="2" eb="4">
      <t>ナイケイ</t>
    </rPh>
    <phoneticPr fontId="2"/>
  </si>
  <si>
    <t>（呼径）</t>
    <rPh sb="1" eb="2">
      <t>ヨ</t>
    </rPh>
    <rPh sb="2" eb="3">
      <t>ケイ</t>
    </rPh>
    <phoneticPr fontId="2"/>
  </si>
  <si>
    <t>設計水圧</t>
    <rPh sb="0" eb="2">
      <t>セッケイ</t>
    </rPh>
    <rPh sb="2" eb="4">
      <t>スイアツ</t>
    </rPh>
    <phoneticPr fontId="2"/>
  </si>
  <si>
    <t>※流速計算は「呼径」、損失計算は「実内径」で行う（H15.02確認済）</t>
    <rPh sb="1" eb="3">
      <t>リュウソク</t>
    </rPh>
    <rPh sb="3" eb="5">
      <t>ケイサン</t>
    </rPh>
    <rPh sb="7" eb="8">
      <t>ヨ</t>
    </rPh>
    <rPh sb="8" eb="9">
      <t>ケイ</t>
    </rPh>
    <rPh sb="11" eb="13">
      <t>ソンシツ</t>
    </rPh>
    <rPh sb="13" eb="15">
      <t>ケイサン</t>
    </rPh>
    <rPh sb="17" eb="18">
      <t>ジツ</t>
    </rPh>
    <rPh sb="18" eb="20">
      <t>ナイケイ</t>
    </rPh>
    <rPh sb="22" eb="23">
      <t>オコナ</t>
    </rPh>
    <rPh sb="31" eb="33">
      <t>カクニン</t>
    </rPh>
    <rPh sb="33" eb="34">
      <t>ズ</t>
    </rPh>
    <phoneticPr fontId="2"/>
  </si>
  <si>
    <t>この表には「口径」「流量」「延長」</t>
    <rPh sb="2" eb="3">
      <t>ヒョウ</t>
    </rPh>
    <rPh sb="6" eb="8">
      <t>コウケイ</t>
    </rPh>
    <rPh sb="10" eb="12">
      <t>リュウリョウ</t>
    </rPh>
    <rPh sb="14" eb="16">
      <t>エンチョウ</t>
    </rPh>
    <phoneticPr fontId="2"/>
  </si>
  <si>
    <t>を区間ごとに入力していきます。</t>
    <rPh sb="1" eb="3">
      <t>クカン</t>
    </rPh>
    <rPh sb="6" eb="8">
      <t>ニュウリョク</t>
    </rPh>
    <phoneticPr fontId="2"/>
  </si>
  <si>
    <t>よって、縦管・横管に関係なく</t>
    <rPh sb="4" eb="6">
      <t>タテカン</t>
    </rPh>
    <rPh sb="7" eb="9">
      <t>ヨコカン</t>
    </rPh>
    <rPh sb="10" eb="12">
      <t>カンケイ</t>
    </rPh>
    <phoneticPr fontId="2"/>
  </si>
  <si>
    <t>この表は配管の摩擦損失のみ</t>
    <rPh sb="2" eb="3">
      <t>ヒョウ</t>
    </rPh>
    <rPh sb="4" eb="6">
      <t>ハイカン</t>
    </rPh>
    <rPh sb="7" eb="9">
      <t>マサツ</t>
    </rPh>
    <rPh sb="9" eb="11">
      <t>ソンシツ</t>
    </rPh>
    <phoneticPr fontId="2"/>
  </si>
  <si>
    <t>計算するものです。</t>
    <rPh sb="0" eb="2">
      <t>ケイサン</t>
    </rPh>
    <phoneticPr fontId="2"/>
  </si>
  <si>
    <t>この表は、ここまで計算された</t>
    <rPh sb="2" eb="3">
      <t>ヒョウ</t>
    </rPh>
    <rPh sb="9" eb="11">
      <t>ケイサン</t>
    </rPh>
    <phoneticPr fontId="2"/>
  </si>
  <si>
    <t>で印刷されます。</t>
    <rPh sb="1" eb="3">
      <t>インサツ</t>
    </rPh>
    <phoneticPr fontId="2"/>
  </si>
  <si>
    <t>○概要</t>
    <rPh sb="1" eb="3">
      <t>ガイヨウ</t>
    </rPh>
    <phoneticPr fontId="2"/>
  </si>
  <si>
    <t>この表は配管に取り付けられた</t>
    <rPh sb="2" eb="3">
      <t>ヒョウ</t>
    </rPh>
    <rPh sb="4" eb="6">
      <t>ハイカン</t>
    </rPh>
    <rPh sb="7" eb="8">
      <t>ト</t>
    </rPh>
    <rPh sb="9" eb="10">
      <t>ツ</t>
    </rPh>
    <phoneticPr fontId="2"/>
  </si>
  <si>
    <t>器具・継手類のみの損失水頭を</t>
    <rPh sb="0" eb="2">
      <t>キグ</t>
    </rPh>
    <rPh sb="3" eb="4">
      <t>ツギ</t>
    </rPh>
    <rPh sb="4" eb="5">
      <t>テ</t>
    </rPh>
    <rPh sb="5" eb="6">
      <t>ルイ</t>
    </rPh>
    <rPh sb="9" eb="11">
      <t>ソンシツ</t>
    </rPh>
    <rPh sb="11" eb="13">
      <t>スイトウ</t>
    </rPh>
    <phoneticPr fontId="2"/>
  </si>
  <si>
    <t>求めるものです。</t>
    <rPh sb="0" eb="1">
      <t>モト</t>
    </rPh>
    <phoneticPr fontId="2"/>
  </si>
  <si>
    <t>入力の対象になる器具・継手類</t>
    <rPh sb="0" eb="2">
      <t>ニュウリョク</t>
    </rPh>
    <rPh sb="3" eb="5">
      <t>タイショウ</t>
    </rPh>
    <rPh sb="8" eb="10">
      <t>キグ</t>
    </rPh>
    <rPh sb="11" eb="12">
      <t>ツギ</t>
    </rPh>
    <rPh sb="12" eb="13">
      <t>テ</t>
    </rPh>
    <rPh sb="13" eb="14">
      <t>ルイ</t>
    </rPh>
    <phoneticPr fontId="2"/>
  </si>
  <si>
    <t>は、損失水頭を計算する</t>
    <rPh sb="2" eb="4">
      <t>ソンシツ</t>
    </rPh>
    <rPh sb="4" eb="6">
      <t>スイトウ</t>
    </rPh>
    <rPh sb="7" eb="9">
      <t>ケイサン</t>
    </rPh>
    <phoneticPr fontId="2"/>
  </si>
  <si>
    <t>配管ラインに設置されている</t>
    <rPh sb="6" eb="8">
      <t>セッチ</t>
    </rPh>
    <phoneticPr fontId="2"/>
  </si>
  <si>
    <t>損失水頭を計算しない配管</t>
    <rPh sb="0" eb="2">
      <t>ソンシツ</t>
    </rPh>
    <rPh sb="2" eb="4">
      <t>スイトウ</t>
    </rPh>
    <rPh sb="5" eb="7">
      <t>ケイサン</t>
    </rPh>
    <rPh sb="10" eb="12">
      <t>ハイカン</t>
    </rPh>
    <phoneticPr fontId="2"/>
  </si>
  <si>
    <t>ラインの器具・継手類の個数は</t>
    <rPh sb="4" eb="6">
      <t>キグ</t>
    </rPh>
    <rPh sb="7" eb="8">
      <t>ツギ</t>
    </rPh>
    <rPh sb="8" eb="9">
      <t>テ</t>
    </rPh>
    <rPh sb="9" eb="10">
      <t>ルイ</t>
    </rPh>
    <rPh sb="11" eb="13">
      <t>コスウ</t>
    </rPh>
    <phoneticPr fontId="2"/>
  </si>
  <si>
    <t>入力しません。</t>
    <rPh sb="0" eb="2">
      <t>ニュウリョク</t>
    </rPh>
    <phoneticPr fontId="2"/>
  </si>
  <si>
    <t>に値を入れていきます。</t>
    <rPh sb="1" eb="2">
      <t>アタイ</t>
    </rPh>
    <rPh sb="3" eb="4">
      <t>イ</t>
    </rPh>
    <phoneticPr fontId="2"/>
  </si>
  <si>
    <t>「無着色セル」には値を入れず、</t>
    <rPh sb="1" eb="4">
      <t>ムチャクショク</t>
    </rPh>
    <rPh sb="9" eb="10">
      <t>アタイ</t>
    </rPh>
    <rPh sb="11" eb="12">
      <t>イ</t>
    </rPh>
    <phoneticPr fontId="2"/>
  </si>
  <si>
    <t>自動出力された値の確認のみ</t>
    <rPh sb="0" eb="2">
      <t>ジドウ</t>
    </rPh>
    <rPh sb="2" eb="4">
      <t>シュツリョク</t>
    </rPh>
    <rPh sb="7" eb="8">
      <t>アタイ</t>
    </rPh>
    <rPh sb="9" eb="11">
      <t>カクニン</t>
    </rPh>
    <phoneticPr fontId="2"/>
  </si>
  <si>
    <t>流量の値別に入力していきます。</t>
    <rPh sb="6" eb="8">
      <t>ニュウリョク</t>
    </rPh>
    <phoneticPr fontId="2"/>
  </si>
  <si>
    <t>設計水圧（Mpa）</t>
    <rPh sb="0" eb="2">
      <t>セッケイ</t>
    </rPh>
    <rPh sb="2" eb="4">
      <t>スイアツ</t>
    </rPh>
    <phoneticPr fontId="2"/>
  </si>
  <si>
    <t>配管の損失水頭合計</t>
    <rPh sb="0" eb="2">
      <t>ハイカン</t>
    </rPh>
    <rPh sb="3" eb="5">
      <t>ソンシツ</t>
    </rPh>
    <rPh sb="5" eb="7">
      <t>スイトウ</t>
    </rPh>
    <rPh sb="7" eb="9">
      <t>ゴウケイ</t>
    </rPh>
    <phoneticPr fontId="2"/>
  </si>
  <si>
    <t>給水器具の損失水頭合計</t>
    <rPh sb="0" eb="2">
      <t>キュウスイ</t>
    </rPh>
    <rPh sb="2" eb="4">
      <t>キグ</t>
    </rPh>
    <rPh sb="5" eb="7">
      <t>ソンシツ</t>
    </rPh>
    <rPh sb="7" eb="9">
      <t>スイトウ</t>
    </rPh>
    <rPh sb="9" eb="11">
      <t>ゴウケイ</t>
    </rPh>
    <phoneticPr fontId="2"/>
  </si>
  <si>
    <t>シャワーが設置されてないなど</t>
    <rPh sb="5" eb="7">
      <t>セッチ</t>
    </rPh>
    <phoneticPr fontId="2"/>
  </si>
  <si>
    <t>給水装置の形態により「7.00m」を</t>
    <rPh sb="0" eb="2">
      <t>キュウスイ</t>
    </rPh>
    <rPh sb="2" eb="4">
      <t>ソウチ</t>
    </rPh>
    <rPh sb="5" eb="7">
      <t>ケイタイ</t>
    </rPh>
    <phoneticPr fontId="2"/>
  </si>
  <si>
    <t>変えて計算する場合があります。</t>
    <rPh sb="0" eb="1">
      <t>カ</t>
    </rPh>
    <rPh sb="3" eb="5">
      <t>ケイサン</t>
    </rPh>
    <rPh sb="7" eb="9">
      <t>バアイ</t>
    </rPh>
    <phoneticPr fontId="2"/>
  </si>
  <si>
    <t>④の「シャワー」は、「快適に</t>
    <rPh sb="11" eb="13">
      <t>カイテキ</t>
    </rPh>
    <phoneticPr fontId="2"/>
  </si>
  <si>
    <t>「流速」が計算され出力されます。</t>
    <rPh sb="1" eb="3">
      <t>リュウソク</t>
    </rPh>
    <phoneticPr fontId="2"/>
  </si>
  <si>
    <t>配管延長を入力していきます。</t>
    <rPh sb="0" eb="2">
      <t>ハイカン</t>
    </rPh>
    <rPh sb="2" eb="4">
      <t>エンチョウ</t>
    </rPh>
    <rPh sb="5" eb="7">
      <t>ニュウリョク</t>
    </rPh>
    <phoneticPr fontId="2"/>
  </si>
  <si>
    <t>算定対象になる全ての区間に</t>
    <rPh sb="0" eb="2">
      <t>サンテイ</t>
    </rPh>
    <rPh sb="2" eb="4">
      <t>タイショウ</t>
    </rPh>
    <phoneticPr fontId="2"/>
  </si>
  <si>
    <t>○ 「設計水圧」</t>
    <rPh sb="3" eb="5">
      <t>セッケイ</t>
    </rPh>
    <rPh sb="5" eb="7">
      <t>スイアツ</t>
    </rPh>
    <phoneticPr fontId="2"/>
  </si>
  <si>
    <t>水道局と協議の上、決定して</t>
    <rPh sb="0" eb="2">
      <t>スイドウ</t>
    </rPh>
    <rPh sb="2" eb="3">
      <t>キョク</t>
    </rPh>
    <rPh sb="4" eb="6">
      <t>キョウギ</t>
    </rPh>
    <rPh sb="7" eb="8">
      <t>ウエ</t>
    </rPh>
    <rPh sb="9" eb="11">
      <t>ケッテイ</t>
    </rPh>
    <phoneticPr fontId="2"/>
  </si>
  <si>
    <t>添付し、水道局へ提出します。</t>
    <rPh sb="0" eb="2">
      <t>テンプ</t>
    </rPh>
    <rPh sb="4" eb="6">
      <t>スイドウ</t>
    </rPh>
    <rPh sb="6" eb="7">
      <t>キョク</t>
    </rPh>
    <rPh sb="8" eb="10">
      <t>テイシュツ</t>
    </rPh>
    <phoneticPr fontId="2"/>
  </si>
  <si>
    <t>器具類の損失水頭（ウェストン+ヘーゼン）</t>
    <rPh sb="0" eb="2">
      <t>キグ</t>
    </rPh>
    <rPh sb="2" eb="3">
      <t>ルイ</t>
    </rPh>
    <rPh sb="4" eb="6">
      <t>ソンシツ</t>
    </rPh>
    <rPh sb="6" eb="8">
      <t>スイトウ</t>
    </rPh>
    <phoneticPr fontId="2"/>
  </si>
  <si>
    <t>配管の損失水頭(（ウエストン+ヘーゼン）</t>
    <rPh sb="0" eb="2">
      <t>ハイカン</t>
    </rPh>
    <rPh sb="3" eb="5">
      <t>ソンシツ</t>
    </rPh>
    <rPh sb="5" eb="7">
      <t>スイトウ</t>
    </rPh>
    <phoneticPr fontId="2"/>
  </si>
  <si>
    <t>水理計算算出の条件</t>
    <rPh sb="0" eb="2">
      <t>スイリ</t>
    </rPh>
    <rPh sb="2" eb="4">
      <t>ケイサン</t>
    </rPh>
    <rPh sb="4" eb="6">
      <t>サンシュツ</t>
    </rPh>
    <rPh sb="7" eb="9">
      <t>ジョウケン</t>
    </rPh>
    <phoneticPr fontId="2"/>
  </si>
  <si>
    <t>○ 水色のセル（枠）にのみ</t>
    <rPh sb="2" eb="4">
      <t>ミズイロ</t>
    </rPh>
    <rPh sb="8" eb="9">
      <t>ワク</t>
    </rPh>
    <phoneticPr fontId="2"/>
  </si>
  <si>
    <t>一般水栓</t>
    <rPh sb="0" eb="2">
      <t>イッパン</t>
    </rPh>
    <rPh sb="2" eb="4">
      <t>スイセン</t>
    </rPh>
    <phoneticPr fontId="2"/>
  </si>
  <si>
    <t>大便器洗浄弁</t>
    <rPh sb="0" eb="3">
      <t>ダイベンキ</t>
    </rPh>
    <rPh sb="3" eb="5">
      <t>センジョウ</t>
    </rPh>
    <rPh sb="5" eb="6">
      <t>ベン</t>
    </rPh>
    <phoneticPr fontId="2"/>
  </si>
  <si>
    <t>小便器洗浄弁</t>
    <rPh sb="0" eb="1">
      <t>ショウ</t>
    </rPh>
    <rPh sb="1" eb="3">
      <t>ベンキ</t>
    </rPh>
    <rPh sb="3" eb="5">
      <t>センジョウ</t>
    </rPh>
    <rPh sb="5" eb="6">
      <t>ベン</t>
    </rPh>
    <phoneticPr fontId="2"/>
  </si>
  <si>
    <t>小便器水栓</t>
    <rPh sb="0" eb="1">
      <t>ショウ</t>
    </rPh>
    <rPh sb="1" eb="3">
      <t>ベンキ</t>
    </rPh>
    <rPh sb="3" eb="5">
      <t>スイセン</t>
    </rPh>
    <phoneticPr fontId="2"/>
  </si>
  <si>
    <t>ガス瞬間式湯沸し器</t>
    <rPh sb="2" eb="4">
      <t>シュンカン</t>
    </rPh>
    <rPh sb="4" eb="5">
      <t>シキ</t>
    </rPh>
    <rPh sb="5" eb="7">
      <t>ユワカ</t>
    </rPh>
    <rPh sb="8" eb="9">
      <t>キ</t>
    </rPh>
    <phoneticPr fontId="2"/>
  </si>
  <si>
    <t>4～5号</t>
    <rPh sb="3" eb="4">
      <t>ゴウ</t>
    </rPh>
    <phoneticPr fontId="2"/>
  </si>
  <si>
    <t>７～16号</t>
    <rPh sb="4" eb="5">
      <t>ゴウ</t>
    </rPh>
    <phoneticPr fontId="2"/>
  </si>
  <si>
    <t>22～30号</t>
    <rPh sb="5" eb="6">
      <t>ゴウ</t>
    </rPh>
    <phoneticPr fontId="2"/>
  </si>
  <si>
    <t>器具の最低必要圧力（空調衛生工学便覧より）</t>
    <rPh sb="0" eb="2">
      <t>キグ</t>
    </rPh>
    <rPh sb="3" eb="5">
      <t>サイテイ</t>
    </rPh>
    <rPh sb="5" eb="7">
      <t>ヒツヨウ</t>
    </rPh>
    <rPh sb="7" eb="9">
      <t>アツリョク</t>
    </rPh>
    <rPh sb="10" eb="12">
      <t>クウチョウ</t>
    </rPh>
    <rPh sb="12" eb="14">
      <t>エイセイ</t>
    </rPh>
    <rPh sb="14" eb="16">
      <t>コウガク</t>
    </rPh>
    <rPh sb="16" eb="18">
      <t>ビンラン</t>
    </rPh>
    <phoneticPr fontId="2"/>
  </si>
  <si>
    <t>＊前もって図面上で区間を分け</t>
    <rPh sb="1" eb="2">
      <t>マエ</t>
    </rPh>
    <rPh sb="5" eb="7">
      <t>ズメン</t>
    </rPh>
    <rPh sb="7" eb="8">
      <t>ジョウ</t>
    </rPh>
    <rPh sb="9" eb="11">
      <t>クカン</t>
    </rPh>
    <rPh sb="12" eb="13">
      <t>ワ</t>
    </rPh>
    <phoneticPr fontId="2"/>
  </si>
  <si>
    <t>　　その区間の仮定口径、管延長、</t>
    <rPh sb="4" eb="6">
      <t>クカン</t>
    </rPh>
    <rPh sb="7" eb="9">
      <t>カテイ</t>
    </rPh>
    <rPh sb="9" eb="11">
      <t>コウケイ</t>
    </rPh>
    <rPh sb="12" eb="13">
      <t>カン</t>
    </rPh>
    <rPh sb="13" eb="15">
      <t>エンチョウ</t>
    </rPh>
    <phoneticPr fontId="2"/>
  </si>
  <si>
    <t>　　同時使用水量を記入しておく</t>
    <rPh sb="9" eb="11">
      <t>キニュウ</t>
    </rPh>
    <phoneticPr fontId="2"/>
  </si>
  <si>
    <t>　　ことをお薦めします。</t>
    <rPh sb="6" eb="7">
      <t>スス</t>
    </rPh>
    <phoneticPr fontId="2"/>
  </si>
  <si>
    <t>また、入力は「水色のセル」のみ</t>
    <rPh sb="3" eb="5">
      <t>ニュウリョク</t>
    </rPh>
    <rPh sb="7" eb="9">
      <t>ミズイロ</t>
    </rPh>
    <phoneticPr fontId="2"/>
  </si>
  <si>
    <t>一個の
単位数</t>
    <rPh sb="0" eb="1">
      <t>イチ</t>
    </rPh>
    <rPh sb="1" eb="2">
      <t>コ</t>
    </rPh>
    <rPh sb="4" eb="7">
      <t>タンイスウ</t>
    </rPh>
    <phoneticPr fontId="2"/>
  </si>
  <si>
    <t>区間点</t>
    <phoneticPr fontId="2"/>
  </si>
  <si>
    <t>大便器（FV）</t>
    <rPh sb="0" eb="3">
      <t>ダイベンキ</t>
    </rPh>
    <phoneticPr fontId="2"/>
  </si>
  <si>
    <t>大便器（ﾀﾝｸ）</t>
    <rPh sb="0" eb="3">
      <t>ダイベンキ</t>
    </rPh>
    <phoneticPr fontId="2"/>
  </si>
  <si>
    <t>単位数</t>
    <rPh sb="0" eb="3">
      <t>タンイスウ</t>
    </rPh>
    <phoneticPr fontId="2"/>
  </si>
  <si>
    <t>小便器（ＦＶ）</t>
    <phoneticPr fontId="2"/>
  </si>
  <si>
    <t>洗面器</t>
    <phoneticPr fontId="2"/>
  </si>
  <si>
    <t>洗面器</t>
    <phoneticPr fontId="2"/>
  </si>
  <si>
    <t>手洗器</t>
    <phoneticPr fontId="2"/>
  </si>
  <si>
    <t>手洗器</t>
    <phoneticPr fontId="2"/>
  </si>
  <si>
    <t>浴槽（混合）</t>
    <rPh sb="3" eb="5">
      <t>コンゴウ</t>
    </rPh>
    <phoneticPr fontId="2"/>
  </si>
  <si>
    <t>浴槽
（シャワ混）</t>
    <rPh sb="7" eb="8">
      <t>コンゴウ</t>
    </rPh>
    <phoneticPr fontId="2"/>
  </si>
  <si>
    <t>汚物流し</t>
    <rPh sb="0" eb="2">
      <t>オブツ</t>
    </rPh>
    <phoneticPr fontId="2"/>
  </si>
  <si>
    <t>台所流し</t>
    <phoneticPr fontId="2"/>
  </si>
  <si>
    <t>洗濯流し</t>
    <phoneticPr fontId="2"/>
  </si>
  <si>
    <t>洗濯流し</t>
    <phoneticPr fontId="2"/>
  </si>
  <si>
    <t>洗濯パン流し</t>
    <phoneticPr fontId="2"/>
  </si>
  <si>
    <t>掃除流し</t>
    <phoneticPr fontId="2"/>
  </si>
  <si>
    <t>料理場流し</t>
    <phoneticPr fontId="2"/>
  </si>
  <si>
    <t>食器洗流し</t>
    <phoneticPr fontId="2"/>
  </si>
  <si>
    <t>散水栓</t>
    <phoneticPr fontId="2"/>
  </si>
  <si>
    <t>給湯器</t>
    <phoneticPr fontId="2"/>
  </si>
  <si>
    <t>給茶器</t>
    <phoneticPr fontId="2"/>
  </si>
  <si>
    <t>計</t>
    <rPh sb="0" eb="1">
      <t>ケイ</t>
    </rPh>
    <phoneticPr fontId="2"/>
  </si>
  <si>
    <t>消火補給</t>
    <phoneticPr fontId="2"/>
  </si>
  <si>
    <t>使用水量（㍑/min）</t>
    <rPh sb="0" eb="2">
      <t>シヨウ</t>
    </rPh>
    <rPh sb="2" eb="4">
      <t>スイリョウ</t>
    </rPh>
    <phoneticPr fontId="2"/>
  </si>
  <si>
    <t>水飲器</t>
    <rPh sb="0" eb="1">
      <t>ミズ</t>
    </rPh>
    <rPh sb="1" eb="2">
      <t>ノ</t>
    </rPh>
    <rPh sb="2" eb="3">
      <t>キ</t>
    </rPh>
    <phoneticPr fontId="2"/>
  </si>
  <si>
    <t>総給水単位数</t>
    <rPh sb="0" eb="1">
      <t>ソウ</t>
    </rPh>
    <rPh sb="1" eb="3">
      <t>キュウスイ</t>
    </rPh>
    <phoneticPr fontId="2"/>
  </si>
  <si>
    <t>単位</t>
    <rPh sb="0" eb="2">
      <t>タンイ</t>
    </rPh>
    <phoneticPr fontId="2"/>
  </si>
  <si>
    <t>料理場流し</t>
    <phoneticPr fontId="2"/>
  </si>
  <si>
    <t>㍑/min</t>
    <phoneticPr fontId="2"/>
  </si>
  <si>
    <t>器具単位数による同時使用水量マスタ</t>
    <rPh sb="0" eb="2">
      <t>キグ</t>
    </rPh>
    <rPh sb="2" eb="5">
      <t>タンイスウ</t>
    </rPh>
    <rPh sb="8" eb="10">
      <t>ドウジ</t>
    </rPh>
    <rPh sb="10" eb="14">
      <t>シヨウリョウ</t>
    </rPh>
    <phoneticPr fontId="2"/>
  </si>
  <si>
    <t>下表、着色部のみのセルでマスタ数値調整の事</t>
    <rPh sb="0" eb="2">
      <t>カヒョウ</t>
    </rPh>
    <rPh sb="3" eb="5">
      <t>チャクショク</t>
    </rPh>
    <rPh sb="5" eb="6">
      <t>ブ</t>
    </rPh>
    <rPh sb="15" eb="17">
      <t>スウチ</t>
    </rPh>
    <rPh sb="17" eb="19">
      <t>チョウセイ</t>
    </rPh>
    <rPh sb="20" eb="21">
      <t>コト</t>
    </rPh>
    <phoneticPr fontId="2"/>
  </si>
  <si>
    <r>
      <t>■</t>
    </r>
    <r>
      <rPr>
        <i/>
        <sz val="9"/>
        <rFont val="ＭＳ Ｐ明朝"/>
        <family val="1"/>
        <charset val="128"/>
      </rPr>
      <t>　Σy=ax+b</t>
    </r>
    <r>
      <rPr>
        <sz val="9"/>
        <rFont val="ＭＳ Ｐゴシック"/>
        <family val="3"/>
        <charset val="128"/>
      </rPr>
      <t>の関数で求める。y：同時使用水量、x：給水器具単位数</t>
    </r>
    <rPh sb="10" eb="12">
      <t>カンスウ</t>
    </rPh>
    <rPh sb="13" eb="14">
      <t>モト</t>
    </rPh>
    <rPh sb="19" eb="21">
      <t>ドウジ</t>
    </rPh>
    <rPh sb="21" eb="23">
      <t>シヨウ</t>
    </rPh>
    <rPh sb="23" eb="25">
      <t>スイリョウ</t>
    </rPh>
    <rPh sb="28" eb="30">
      <t>キュウスイ</t>
    </rPh>
    <rPh sb="30" eb="32">
      <t>キグ</t>
    </rPh>
    <rPh sb="32" eb="35">
      <t>タンイスウ</t>
    </rPh>
    <phoneticPr fontId="2"/>
  </si>
  <si>
    <t>■　数値データは大阪「’97　必携書 p.244」の表より</t>
    <rPh sb="2" eb="4">
      <t>スウチ</t>
    </rPh>
    <rPh sb="8" eb="10">
      <t>オオサカ</t>
    </rPh>
    <rPh sb="15" eb="17">
      <t>ヒッケイ</t>
    </rPh>
    <rPh sb="17" eb="18">
      <t>ショ</t>
    </rPh>
    <rPh sb="26" eb="27">
      <t>ヒョウ</t>
    </rPh>
    <phoneticPr fontId="2"/>
  </si>
  <si>
    <t>→大便器で洗浄タンクの多い場合（タンク式）</t>
    <rPh sb="19" eb="20">
      <t>シキ</t>
    </rPh>
    <phoneticPr fontId="2"/>
  </si>
  <si>
    <t>→大便器で洗浄弁の多い場合（ＦＶ式）</t>
    <rPh sb="16" eb="17">
      <t>シキ</t>
    </rPh>
    <phoneticPr fontId="2"/>
  </si>
  <si>
    <t>条件</t>
    <rPh sb="0" eb="2">
      <t>ジョウケン</t>
    </rPh>
    <phoneticPr fontId="2"/>
  </si>
  <si>
    <t>x1＜</t>
    <phoneticPr fontId="2"/>
  </si>
  <si>
    <t>≧x2</t>
    <phoneticPr fontId="2"/>
  </si>
  <si>
    <t>y1</t>
    <phoneticPr fontId="2"/>
  </si>
  <si>
    <t>y2</t>
    <phoneticPr fontId="2"/>
  </si>
  <si>
    <t>a</t>
    <phoneticPr fontId="2"/>
  </si>
  <si>
    <t>b</t>
    <phoneticPr fontId="2"/>
  </si>
  <si>
    <t>使用水量</t>
    <rPh sb="0" eb="2">
      <t>シヨウ</t>
    </rPh>
    <rPh sb="2" eb="4">
      <t>スイリョウ</t>
    </rPh>
    <phoneticPr fontId="2"/>
  </si>
  <si>
    <t>タンク式</t>
    <rPh sb="3" eb="4">
      <t>シキ</t>
    </rPh>
    <phoneticPr fontId="2"/>
  </si>
  <si>
    <t>ＦＶ式</t>
    <rPh sb="2" eb="3">
      <t>シキ</t>
    </rPh>
    <phoneticPr fontId="2"/>
  </si>
  <si>
    <r>
      <t>同時使用水量を求める計算式⇒</t>
    </r>
    <r>
      <rPr>
        <i/>
        <sz val="9"/>
        <rFont val="ＭＳ Ｐゴシック"/>
        <family val="3"/>
        <charset val="128"/>
      </rPr>
      <t xml:space="preserve">　ｙ = </t>
    </r>
    <r>
      <rPr>
        <sz val="9"/>
        <rFont val="ＭＳ Ｐゴシック"/>
        <family val="3"/>
        <charset val="128"/>
      </rPr>
      <t>ROUND((</t>
    </r>
    <r>
      <rPr>
        <i/>
        <sz val="9"/>
        <rFont val="ＭＳ Ｐゴシック"/>
        <family val="3"/>
        <charset val="128"/>
      </rPr>
      <t>ａ</t>
    </r>
    <r>
      <rPr>
        <sz val="9"/>
        <rFont val="ＭＳ Ｐゴシック"/>
        <family val="3"/>
        <charset val="128"/>
      </rPr>
      <t>*(入力単位数-</t>
    </r>
    <r>
      <rPr>
        <i/>
        <sz val="9"/>
        <rFont val="ＭＳ Ｐゴシック"/>
        <family val="3"/>
        <charset val="128"/>
      </rPr>
      <t>ｘ１</t>
    </r>
    <r>
      <rPr>
        <sz val="9"/>
        <rFont val="ＭＳ Ｐゴシック"/>
        <family val="3"/>
        <charset val="128"/>
      </rPr>
      <t>)+</t>
    </r>
    <r>
      <rPr>
        <i/>
        <sz val="9"/>
        <rFont val="ＭＳ Ｐゴシック"/>
        <family val="3"/>
        <charset val="128"/>
      </rPr>
      <t>ｙ１</t>
    </r>
    <r>
      <rPr>
        <sz val="9"/>
        <rFont val="ＭＳ Ｐゴシック"/>
        <family val="3"/>
        <charset val="128"/>
      </rPr>
      <t>),0)</t>
    </r>
    <rPh sb="0" eb="2">
      <t>ドウジ</t>
    </rPh>
    <rPh sb="2" eb="4">
      <t>シヨウ</t>
    </rPh>
    <rPh sb="4" eb="6">
      <t>スイリョウ</t>
    </rPh>
    <rPh sb="7" eb="8">
      <t>モト</t>
    </rPh>
    <rPh sb="10" eb="13">
      <t>ケイサンシキ</t>
    </rPh>
    <rPh sb="29" eb="31">
      <t>ニュウリョク</t>
    </rPh>
    <rPh sb="31" eb="34">
      <t>タンイスウ</t>
    </rPh>
    <phoneticPr fontId="2"/>
  </si>
  <si>
    <t>○ 概要</t>
    <rPh sb="2" eb="4">
      <t>ガイヨウ</t>
    </rPh>
    <phoneticPr fontId="2"/>
  </si>
  <si>
    <t>から流量を求めます。</t>
    <rPh sb="2" eb="4">
      <t>リュウリョウ</t>
    </rPh>
    <rPh sb="5" eb="6">
      <t>モト</t>
    </rPh>
    <phoneticPr fontId="2"/>
  </si>
  <si>
    <t>この計算書は器具単位で流量を求める表です。</t>
    <rPh sb="2" eb="5">
      <t>ケイサンショ</t>
    </rPh>
    <rPh sb="6" eb="8">
      <t>キグ</t>
    </rPh>
    <rPh sb="8" eb="10">
      <t>タンイ</t>
    </rPh>
    <phoneticPr fontId="2"/>
  </si>
  <si>
    <t>通常は器具ごとの器具単位に器具の個数を掛けて</t>
    <rPh sb="0" eb="2">
      <t>ツウジョウ</t>
    </rPh>
    <rPh sb="3" eb="5">
      <t>キグ</t>
    </rPh>
    <rPh sb="8" eb="10">
      <t>キグ</t>
    </rPh>
    <rPh sb="10" eb="12">
      <t>タンイ</t>
    </rPh>
    <phoneticPr fontId="2"/>
  </si>
  <si>
    <t>総器具単位数を求め、器具単位用の曲線グラフ</t>
    <rPh sb="7" eb="8">
      <t>モト</t>
    </rPh>
    <phoneticPr fontId="2"/>
  </si>
  <si>
    <t>これを器具ごとに数量を入力するだけで流量を</t>
    <rPh sb="3" eb="5">
      <t>キグ</t>
    </rPh>
    <rPh sb="8" eb="10">
      <t>スウリョウ</t>
    </rPh>
    <rPh sb="11" eb="13">
      <t>ニュウリョク</t>
    </rPh>
    <phoneticPr fontId="2"/>
  </si>
  <si>
    <t>求めるようにしたのが、左の計算シートです。</t>
    <phoneticPr fontId="2"/>
  </si>
  <si>
    <t>器具単位で流量を求める給水装置は、事務所・</t>
    <rPh sb="0" eb="2">
      <t>キグ</t>
    </rPh>
    <rPh sb="2" eb="4">
      <t>タンイ</t>
    </rPh>
    <rPh sb="5" eb="7">
      <t>リュウリョウ</t>
    </rPh>
    <rPh sb="8" eb="9">
      <t>モト</t>
    </rPh>
    <phoneticPr fontId="2"/>
  </si>
  <si>
    <t>レストランなど集合住宅でない施設に適用されます</t>
    <phoneticPr fontId="2"/>
  </si>
  <si>
    <t>（受水槽の容量を求める計算とは異なります）。</t>
    <rPh sb="1" eb="3">
      <t>ジュスイ</t>
    </rPh>
    <rPh sb="3" eb="4">
      <t>ソウ</t>
    </rPh>
    <rPh sb="5" eb="7">
      <t>ヨウリョウ</t>
    </rPh>
    <phoneticPr fontId="2"/>
  </si>
  <si>
    <t>○ 区間点の入力</t>
    <rPh sb="2" eb="5">
      <t>クカンテン</t>
    </rPh>
    <rPh sb="6" eb="8">
      <t>ニュウリョク</t>
    </rPh>
    <phoneticPr fontId="2"/>
  </si>
  <si>
    <t>計算の対象となる配管ラインを見て、分岐ごとに</t>
    <rPh sb="0" eb="2">
      <t>ケイサン</t>
    </rPh>
    <rPh sb="3" eb="5">
      <t>タイショウ</t>
    </rPh>
    <rPh sb="8" eb="10">
      <t>ハイカン</t>
    </rPh>
    <rPh sb="14" eb="15">
      <t>ミ</t>
    </rPh>
    <rPh sb="17" eb="19">
      <t>ブンキ</t>
    </rPh>
    <phoneticPr fontId="2"/>
  </si>
  <si>
    <t>区間番号を取っていきます。要領は集合住宅と</t>
    <rPh sb="0" eb="2">
      <t>クカン</t>
    </rPh>
    <rPh sb="2" eb="4">
      <t>バンゴウ</t>
    </rPh>
    <rPh sb="5" eb="6">
      <t>ト</t>
    </rPh>
    <rPh sb="13" eb="15">
      <t>ヨウリョウ</t>
    </rPh>
    <rPh sb="16" eb="18">
      <t>シュウゴウ</t>
    </rPh>
    <rPh sb="18" eb="20">
      <t>ジュウタク</t>
    </rPh>
    <phoneticPr fontId="2"/>
  </si>
  <si>
    <t>同じです。</t>
    <rPh sb="0" eb="1">
      <t>オナ</t>
    </rPh>
    <phoneticPr fontId="2"/>
  </si>
  <si>
    <t>J</t>
    <phoneticPr fontId="2"/>
  </si>
  <si>
    <t>K</t>
    <phoneticPr fontId="2"/>
  </si>
  <si>
    <t>L</t>
    <phoneticPr fontId="2"/>
  </si>
  <si>
    <t>「A」が本管からの分岐点です。</t>
    <rPh sb="4" eb="6">
      <t>ホンカン</t>
    </rPh>
    <rPh sb="9" eb="12">
      <t>ブンキテン</t>
    </rPh>
    <phoneticPr fontId="2"/>
  </si>
  <si>
    <t>○ 個数の入力</t>
    <rPh sb="2" eb="4">
      <t>コスウ</t>
    </rPh>
    <rPh sb="5" eb="7">
      <t>ニュウリョク</t>
    </rPh>
    <phoneticPr fontId="2"/>
  </si>
  <si>
    <t>本管から一番遠い器具に区間点を付けます。</t>
    <rPh sb="0" eb="2">
      <t>ホンカン</t>
    </rPh>
    <rPh sb="4" eb="6">
      <t>イチバン</t>
    </rPh>
    <rPh sb="6" eb="7">
      <t>トオ</t>
    </rPh>
    <rPh sb="8" eb="10">
      <t>キグ</t>
    </rPh>
    <rPh sb="11" eb="13">
      <t>クカン</t>
    </rPh>
    <rPh sb="13" eb="14">
      <t>テン</t>
    </rPh>
    <rPh sb="15" eb="16">
      <t>ツ</t>
    </rPh>
    <phoneticPr fontId="2"/>
  </si>
  <si>
    <t>例えば、本管からの取り出しを「A」とし、次の分岐は</t>
    <rPh sb="0" eb="1">
      <t>タト</t>
    </rPh>
    <rPh sb="4" eb="6">
      <t>ホンカン</t>
    </rPh>
    <rPh sb="9" eb="10">
      <t>ト</t>
    </rPh>
    <rPh sb="11" eb="12">
      <t>ダ</t>
    </rPh>
    <rPh sb="20" eb="21">
      <t>ツギ</t>
    </rPh>
    <rPh sb="22" eb="24">
      <t>ブンキ</t>
    </rPh>
    <phoneticPr fontId="2"/>
  </si>
  <si>
    <t>「B」、その次は「C」・・・、最後に本管から一番遠い</t>
    <rPh sb="6" eb="7">
      <t>ツギ</t>
    </rPh>
    <rPh sb="15" eb="17">
      <t>サイゴ</t>
    </rPh>
    <rPh sb="18" eb="20">
      <t>ホンカン</t>
    </rPh>
    <rPh sb="22" eb="24">
      <t>イチバン</t>
    </rPh>
    <rPh sb="24" eb="25">
      <t>トオ</t>
    </rPh>
    <phoneticPr fontId="2"/>
  </si>
  <si>
    <t>器具が「H」とします。</t>
    <rPh sb="0" eb="2">
      <t>キグ</t>
    </rPh>
    <phoneticPr fontId="2"/>
  </si>
  <si>
    <t>個数の入力はこの「H」から入れたほうが便利です。</t>
    <rPh sb="0" eb="2">
      <t>コスウ</t>
    </rPh>
    <rPh sb="3" eb="5">
      <t>ニュウリョク</t>
    </rPh>
    <rPh sb="13" eb="14">
      <t>イ</t>
    </rPh>
    <rPh sb="19" eb="21">
      <t>ベンリ</t>
    </rPh>
    <phoneticPr fontId="2"/>
  </si>
  <si>
    <t>区間点Hが大便器であれば表のHの列に個数「１」</t>
    <rPh sb="0" eb="2">
      <t>クカン</t>
    </rPh>
    <rPh sb="2" eb="3">
      <t>テン</t>
    </rPh>
    <rPh sb="5" eb="8">
      <t>ダイベンキ</t>
    </rPh>
    <rPh sb="12" eb="13">
      <t>ヒョウ</t>
    </rPh>
    <rPh sb="16" eb="17">
      <t>レツ</t>
    </rPh>
    <rPh sb="18" eb="20">
      <t>コスウ</t>
    </rPh>
    <phoneticPr fontId="2"/>
  </si>
  <si>
    <t>を入力します(黄色のセル）。</t>
    <rPh sb="1" eb="3">
      <t>ニュウリョク</t>
    </rPh>
    <rPh sb="7" eb="9">
      <t>キイロ</t>
    </rPh>
    <phoneticPr fontId="2"/>
  </si>
  <si>
    <t>次に「G」の列の入力です。分岐点（区間点）Gに</t>
    <rPh sb="0" eb="1">
      <t>ツギ</t>
    </rPh>
    <rPh sb="6" eb="7">
      <t>レツ</t>
    </rPh>
    <rPh sb="8" eb="10">
      <t>ニュウリョク</t>
    </rPh>
    <rPh sb="13" eb="16">
      <t>ブンキテン</t>
    </rPh>
    <rPh sb="17" eb="19">
      <t>クカン</t>
    </rPh>
    <rPh sb="19" eb="20">
      <t>テン</t>
    </rPh>
    <phoneticPr fontId="2"/>
  </si>
  <si>
    <t>洗面器２ヶ、台所流し１ヶがあれば「G」の列の洗面器</t>
    <rPh sb="0" eb="3">
      <t>センメンキ</t>
    </rPh>
    <rPh sb="6" eb="8">
      <t>ダイドコロ</t>
    </rPh>
    <rPh sb="8" eb="9">
      <t>ナガ</t>
    </rPh>
    <rPh sb="20" eb="21">
      <t>レツ</t>
    </rPh>
    <rPh sb="22" eb="25">
      <t>センメンキ</t>
    </rPh>
    <phoneticPr fontId="2"/>
  </si>
  <si>
    <t>と台所流しに個数を入力します。</t>
    <rPh sb="1" eb="3">
      <t>ダイドコロ</t>
    </rPh>
    <rPh sb="3" eb="4">
      <t>ナガ</t>
    </rPh>
    <rPh sb="6" eb="8">
      <t>コスウ</t>
    </rPh>
    <rPh sb="9" eb="11">
      <t>ニュウリョク</t>
    </rPh>
    <phoneticPr fontId="2"/>
  </si>
  <si>
    <t>そして、さらに「H」の大便器の個数も入力します。</t>
    <rPh sb="11" eb="14">
      <t>ダイベンキ</t>
    </rPh>
    <rPh sb="15" eb="17">
      <t>コスウ</t>
    </rPh>
    <rPh sb="18" eb="20">
      <t>ニュウリョク</t>
    </rPh>
    <phoneticPr fontId="2"/>
  </si>
  <si>
    <t>次に「F」の列の入力です。分岐点（区間点）Fに</t>
    <rPh sb="0" eb="1">
      <t>ツギ</t>
    </rPh>
    <rPh sb="6" eb="7">
      <t>レツ</t>
    </rPh>
    <rPh sb="8" eb="10">
      <t>ニュウリョク</t>
    </rPh>
    <rPh sb="13" eb="16">
      <t>ブンキテン</t>
    </rPh>
    <rPh sb="17" eb="19">
      <t>クカン</t>
    </rPh>
    <rPh sb="19" eb="20">
      <t>テン</t>
    </rPh>
    <phoneticPr fontId="2"/>
  </si>
  <si>
    <r>
      <t>洗面器１ヶ、台所流し１ヶがあれば「F」の列に</t>
    </r>
    <r>
      <rPr>
        <sz val="11"/>
        <color indexed="10"/>
        <rFont val="ＭＳ Ｐゴシック"/>
        <family val="3"/>
        <charset val="128"/>
      </rPr>
      <t>「G」の</t>
    </r>
    <rPh sb="0" eb="3">
      <t>センメンキ</t>
    </rPh>
    <rPh sb="6" eb="8">
      <t>ダイドコロ</t>
    </rPh>
    <rPh sb="8" eb="9">
      <t>ナガ</t>
    </rPh>
    <rPh sb="20" eb="21">
      <t>レツ</t>
    </rPh>
    <phoneticPr fontId="2"/>
  </si>
  <si>
    <r>
      <t>列の個数を加算し累計の個数</t>
    </r>
    <r>
      <rPr>
        <sz val="11"/>
        <color indexed="12"/>
        <rFont val="ＭＳ Ｐゴシック"/>
        <family val="3"/>
        <charset val="128"/>
      </rPr>
      <t>を入力します。</t>
    </r>
    <rPh sb="0" eb="1">
      <t>レツ</t>
    </rPh>
    <rPh sb="2" eb="4">
      <t>コスウ</t>
    </rPh>
    <rPh sb="5" eb="7">
      <t>カサン</t>
    </rPh>
    <rPh sb="8" eb="10">
      <t>ルイケイ</t>
    </rPh>
    <rPh sb="11" eb="13">
      <t>コスウ</t>
    </rPh>
    <rPh sb="14" eb="16">
      <t>ニュウリョク</t>
    </rPh>
    <phoneticPr fontId="2"/>
  </si>
  <si>
    <t>よって、「F」の列の大便器個数は追加分がないので</t>
    <rPh sb="8" eb="9">
      <t>レツ</t>
    </rPh>
    <rPh sb="10" eb="13">
      <t>ダイベンキ</t>
    </rPh>
    <rPh sb="13" eb="15">
      <t>コスウ</t>
    </rPh>
    <rPh sb="16" eb="18">
      <t>ツイカ</t>
    </rPh>
    <rPh sb="18" eb="19">
      <t>ブン</t>
    </rPh>
    <phoneticPr fontId="2"/>
  </si>
  <si>
    <t>１ヶを入力、洗面器は１ヶ追加なのでG列の２ヶと</t>
    <rPh sb="3" eb="5">
      <t>ニュウリョク</t>
    </rPh>
    <rPh sb="6" eb="9">
      <t>センメンキ</t>
    </rPh>
    <rPh sb="12" eb="14">
      <t>ツイカ</t>
    </rPh>
    <rPh sb="18" eb="19">
      <t>レツ</t>
    </rPh>
    <phoneticPr fontId="2"/>
  </si>
  <si>
    <t>あわせて、３ヶを入力します。台所流しは１ヶ追加で</t>
    <rPh sb="8" eb="10">
      <t>ニュウリョク</t>
    </rPh>
    <rPh sb="14" eb="16">
      <t>ダイドコロ</t>
    </rPh>
    <rPh sb="16" eb="17">
      <t>ナガ</t>
    </rPh>
    <rPh sb="21" eb="23">
      <t>ツイカ</t>
    </rPh>
    <phoneticPr fontId="2"/>
  </si>
  <si>
    <t>２ヶとなります。</t>
    <phoneticPr fontId="2"/>
  </si>
  <si>
    <t>こうして区間点Aでは、この給水装置に付く全ての</t>
    <rPh sb="4" eb="6">
      <t>クカン</t>
    </rPh>
    <rPh sb="6" eb="7">
      <t>テン</t>
    </rPh>
    <rPh sb="13" eb="15">
      <t>キュウスイ</t>
    </rPh>
    <rPh sb="15" eb="17">
      <t>ソウチ</t>
    </rPh>
    <rPh sb="18" eb="19">
      <t>ツ</t>
    </rPh>
    <rPh sb="20" eb="21">
      <t>スベ</t>
    </rPh>
    <phoneticPr fontId="2"/>
  </si>
  <si>
    <t>器具個数が「計」の欄に出力されます。</t>
    <rPh sb="0" eb="2">
      <t>キグ</t>
    </rPh>
    <rPh sb="2" eb="4">
      <t>コスウ</t>
    </rPh>
    <rPh sb="6" eb="7">
      <t>ケイ</t>
    </rPh>
    <rPh sb="9" eb="10">
      <t>ラン</t>
    </rPh>
    <rPh sb="11" eb="13">
      <t>シュツリョク</t>
    </rPh>
    <phoneticPr fontId="2"/>
  </si>
  <si>
    <t>各区間点の流量は表の一番下「使用水量｣欄に</t>
    <rPh sb="0" eb="1">
      <t>カク</t>
    </rPh>
    <rPh sb="1" eb="3">
      <t>クカン</t>
    </rPh>
    <rPh sb="3" eb="4">
      <t>テン</t>
    </rPh>
    <rPh sb="5" eb="7">
      <t>リュウリョウ</t>
    </rPh>
    <rPh sb="8" eb="9">
      <t>ヒョウ</t>
    </rPh>
    <rPh sb="10" eb="13">
      <t>イチバンシタ</t>
    </rPh>
    <rPh sb="14" eb="16">
      <t>シヨウ</t>
    </rPh>
    <rPh sb="16" eb="18">
      <t>スイリョウ</t>
    </rPh>
    <rPh sb="19" eb="20">
      <t>ラン</t>
    </rPh>
    <phoneticPr fontId="2"/>
  </si>
  <si>
    <t>　　使用水量を求める条件</t>
    <rPh sb="2" eb="4">
      <t>シヨウ</t>
    </rPh>
    <rPh sb="7" eb="8">
      <t>モト</t>
    </rPh>
    <rPh sb="10" eb="12">
      <t>ジョウケン</t>
    </rPh>
    <phoneticPr fontId="2"/>
  </si>
  <si>
    <t>○ 計算条件の入力</t>
    <rPh sb="2" eb="4">
      <t>ケイサン</t>
    </rPh>
    <rPh sb="4" eb="6">
      <t>ジョウケン</t>
    </rPh>
    <rPh sb="7" eb="9">
      <t>ニュウリョク</t>
    </rPh>
    <phoneticPr fontId="2"/>
  </si>
  <si>
    <t>「大便器で洗浄タンクの多い場合」と「大便器で</t>
    <phoneticPr fontId="2"/>
  </si>
  <si>
    <t>洗浄弁の多い場合」とでは計算式の係数が異なります。</t>
    <rPh sb="12" eb="14">
      <t>ケイサン</t>
    </rPh>
    <rPh sb="14" eb="15">
      <t>シキ</t>
    </rPh>
    <rPh sb="16" eb="18">
      <t>ケイスウ</t>
    </rPh>
    <rPh sb="19" eb="20">
      <t>コト</t>
    </rPh>
    <phoneticPr fontId="2"/>
  </si>
  <si>
    <t>計算条件リスト</t>
    <rPh sb="0" eb="2">
      <t>ケイサン</t>
    </rPh>
    <rPh sb="2" eb="4">
      <t>ジョウケン</t>
    </rPh>
    <phoneticPr fontId="2"/>
  </si>
  <si>
    <t>大便器で洗浄タンクの多い場合</t>
  </si>
  <si>
    <t>大便器で洗浄タンクの多い場合</t>
    <phoneticPr fontId="2"/>
  </si>
  <si>
    <t>大便器で洗浄弁の多い場合</t>
    <phoneticPr fontId="2"/>
  </si>
  <si>
    <t>「使用水量を求める条件」欄でどちらかを選択してください。</t>
    <rPh sb="12" eb="13">
      <t>ラン</t>
    </rPh>
    <rPh sb="19" eb="21">
      <t>センタク</t>
    </rPh>
    <phoneticPr fontId="2"/>
  </si>
  <si>
    <t>単位数の参考データ</t>
    <rPh sb="0" eb="3">
      <t>タンイスウ</t>
    </rPh>
    <rPh sb="4" eb="6">
      <t>サンコウ</t>
    </rPh>
    <phoneticPr fontId="2"/>
  </si>
  <si>
    <t>○ １個の単位数の変更</t>
    <rPh sb="3" eb="4">
      <t>コ</t>
    </rPh>
    <rPh sb="5" eb="8">
      <t>タンイスウ</t>
    </rPh>
    <rPh sb="9" eb="11">
      <t>ヘンコウ</t>
    </rPh>
    <phoneticPr fontId="2"/>
  </si>
  <si>
    <t>単位数の参考データに１個あたりの単位数を載せています。</t>
    <rPh sb="0" eb="3">
      <t>タンイスウ</t>
    </rPh>
    <rPh sb="4" eb="6">
      <t>サンコウ</t>
    </rPh>
    <rPh sb="11" eb="12">
      <t>コ</t>
    </rPh>
    <rPh sb="16" eb="19">
      <t>タンイスウ</t>
    </rPh>
    <rPh sb="20" eb="21">
      <t>ノ</t>
    </rPh>
    <phoneticPr fontId="2"/>
  </si>
  <si>
    <t>この「2」とか「3」の単位数は一般的な数値です。</t>
    <rPh sb="11" eb="14">
      <t>タンイスウ</t>
    </rPh>
    <rPh sb="15" eb="18">
      <t>イッパンテキ</t>
    </rPh>
    <rPh sb="19" eb="21">
      <t>スウチ</t>
    </rPh>
    <phoneticPr fontId="2"/>
  </si>
  <si>
    <t>給水装置の形態や使用用途により変える場合があります。</t>
    <rPh sb="0" eb="2">
      <t>キュウスイ</t>
    </rPh>
    <rPh sb="2" eb="4">
      <t>ソウチ</t>
    </rPh>
    <rPh sb="5" eb="7">
      <t>ケイタイ</t>
    </rPh>
    <rPh sb="8" eb="10">
      <t>シヨウ</t>
    </rPh>
    <rPh sb="10" eb="12">
      <t>ヨウト</t>
    </rPh>
    <rPh sb="15" eb="16">
      <t>カ</t>
    </rPh>
    <rPh sb="18" eb="20">
      <t>バアイ</t>
    </rPh>
    <phoneticPr fontId="2"/>
  </si>
  <si>
    <t>変える場合は水道部と協議し、了解を得てください。</t>
    <rPh sb="0" eb="1">
      <t>カ</t>
    </rPh>
    <rPh sb="3" eb="5">
      <t>バアイ</t>
    </rPh>
    <rPh sb="6" eb="8">
      <t>スイドウ</t>
    </rPh>
    <rPh sb="8" eb="9">
      <t>ブ</t>
    </rPh>
    <rPh sb="10" eb="12">
      <t>キョウギ</t>
    </rPh>
    <rPh sb="14" eb="16">
      <t>リョウカイ</t>
    </rPh>
    <rPh sb="17" eb="18">
      <t>エ</t>
    </rPh>
    <phoneticPr fontId="2"/>
  </si>
  <si>
    <t xml:space="preserve">最大使用水量 </t>
    <rPh sb="0" eb="2">
      <t>サイダイ</t>
    </rPh>
    <rPh sb="2" eb="6">
      <t>シヨウスイリョウ</t>
    </rPh>
    <phoneticPr fontId="2"/>
  </si>
  <si>
    <t>事務用流し</t>
    <rPh sb="0" eb="3">
      <t>ジムヨウ</t>
    </rPh>
    <rPh sb="3" eb="4">
      <t>ナガ</t>
    </rPh>
    <phoneticPr fontId="2"/>
  </si>
  <si>
    <t>ボール型止水栓</t>
    <phoneticPr fontId="2"/>
  </si>
  <si>
    <t>メーター</t>
    <phoneticPr fontId="2"/>
  </si>
  <si>
    <t>スルース弁</t>
    <phoneticPr fontId="2"/>
  </si>
  <si>
    <t>逆止弁</t>
    <phoneticPr fontId="2"/>
  </si>
  <si>
    <t>(㎜)</t>
    <phoneticPr fontId="2"/>
  </si>
  <si>
    <t xml:space="preserve"> (m)</t>
    <phoneticPr fontId="2"/>
  </si>
  <si>
    <t>(㎡）</t>
    <phoneticPr fontId="2"/>
  </si>
  <si>
    <t>９０°
エルボ</t>
    <phoneticPr fontId="2"/>
  </si>
  <si>
    <t>～</t>
    <phoneticPr fontId="2"/>
  </si>
  <si>
    <t>Ｉ</t>
    <phoneticPr fontId="2"/>
  </si>
  <si>
    <t>Ｊ</t>
    <phoneticPr fontId="2"/>
  </si>
  <si>
    <t>Ｌ</t>
    <phoneticPr fontId="2"/>
  </si>
  <si>
    <t>Ｍ</t>
    <phoneticPr fontId="2"/>
  </si>
  <si>
    <t>Ｎ</t>
    <phoneticPr fontId="2"/>
  </si>
  <si>
    <t>O</t>
    <phoneticPr fontId="2"/>
  </si>
  <si>
    <t>Q</t>
    <phoneticPr fontId="2"/>
  </si>
  <si>
    <t>R</t>
    <phoneticPr fontId="2"/>
  </si>
  <si>
    <t>T</t>
    <phoneticPr fontId="2"/>
  </si>
  <si>
    <t>U</t>
    <phoneticPr fontId="2"/>
  </si>
  <si>
    <r>
      <t>流量(m</t>
    </r>
    <r>
      <rPr>
        <vertAlign val="superscript"/>
        <sz val="11"/>
        <rFont val="ＭＳ Ｐゴシック"/>
        <family val="3"/>
        <charset val="128"/>
      </rPr>
      <t>3</t>
    </r>
    <r>
      <rPr>
        <sz val="11"/>
        <rFont val="ＭＳ Ｐゴシック"/>
        <family val="3"/>
        <charset val="128"/>
      </rPr>
      <t>/s)</t>
    </r>
    <rPh sb="0" eb="2">
      <t>リュウリョウ</t>
    </rPh>
    <phoneticPr fontId="2"/>
  </si>
  <si>
    <t>No.</t>
    <phoneticPr fontId="2"/>
  </si>
  <si>
    <t>①</t>
    <phoneticPr fontId="2"/>
  </si>
  <si>
    <t>○ 「同時使用水量（Ｌ/ｓｅｃ）」</t>
    <phoneticPr fontId="2"/>
  </si>
  <si>
    <t>流量(m3/s)</t>
    <rPh sb="0" eb="2">
      <t>リュウリョウ</t>
    </rPh>
    <phoneticPr fontId="2"/>
  </si>
  <si>
    <t>○ 「配管の損失水頭」</t>
    <phoneticPr fontId="2"/>
  </si>
  <si>
    <t>○ 「流速(m/s)」のチェック</t>
    <phoneticPr fontId="2"/>
  </si>
  <si>
    <t>②</t>
    <phoneticPr fontId="2"/>
  </si>
  <si>
    <t>○ 「給水器具類の損失水頭」</t>
    <phoneticPr fontId="2"/>
  </si>
  <si>
    <t>します。</t>
    <phoneticPr fontId="2"/>
  </si>
  <si>
    <t>シャワー</t>
    <phoneticPr fontId="2"/>
  </si>
  <si>
    <t>○ 「計画給水の検証」</t>
    <phoneticPr fontId="2"/>
  </si>
  <si>
    <t>○ 「必要水頭」</t>
    <phoneticPr fontId="2"/>
  </si>
  <si>
    <t>結果です。</t>
    <phoneticPr fontId="2"/>
  </si>
  <si>
    <t>ナス）でなければ、「OK」、</t>
    <phoneticPr fontId="2"/>
  </si>
  <si>
    <t>③</t>
    <phoneticPr fontId="2"/>
  </si>
  <si>
    <t>④</t>
    <phoneticPr fontId="2"/>
  </si>
  <si>
    <t>＞</t>
    <phoneticPr fontId="2"/>
  </si>
  <si>
    <t>ください。</t>
    <phoneticPr fontId="2"/>
  </si>
  <si>
    <t>器具負荷単位による各区間点の使用水量算定表</t>
    <rPh sb="0" eb="2">
      <t>キグ</t>
    </rPh>
    <rPh sb="2" eb="4">
      <t>フカ</t>
    </rPh>
    <rPh sb="4" eb="6">
      <t>タンイ</t>
    </rPh>
    <rPh sb="9" eb="10">
      <t>カク</t>
    </rPh>
    <rPh sb="10" eb="12">
      <t>クカン</t>
    </rPh>
    <rPh sb="12" eb="13">
      <t>テン</t>
    </rPh>
    <rPh sb="14" eb="16">
      <t>シヨウ</t>
    </rPh>
    <rPh sb="16" eb="18">
      <t>スイリョウ</t>
    </rPh>
    <rPh sb="18" eb="20">
      <t>サンテイ</t>
    </rPh>
    <rPh sb="20" eb="21">
      <t>ヒョウ</t>
    </rPh>
    <phoneticPr fontId="2"/>
  </si>
  <si>
    <t>X</t>
    <phoneticPr fontId="2"/>
  </si>
  <si>
    <t>V</t>
    <phoneticPr fontId="2"/>
  </si>
  <si>
    <t>また、表中の「流速」欄も同時に</t>
    <rPh sb="3" eb="5">
      <t>ヒョウチュウ</t>
    </rPh>
    <phoneticPr fontId="2"/>
  </si>
  <si>
    <t>見ていくと、グリーンの範囲が</t>
  </si>
  <si>
    <t>推奨取出し口径になります。</t>
  </si>
  <si>
    <t>を選択します。</t>
    <phoneticPr fontId="2"/>
  </si>
  <si>
    <t>○ 「管芯から最高位水栓までの高さ」</t>
  </si>
  <si>
    <t>設計水圧は、現地水圧を朝昼夕の最低</t>
    <rPh sb="0" eb="2">
      <t>セッケイ</t>
    </rPh>
    <rPh sb="2" eb="4">
      <t>スイアツ</t>
    </rPh>
    <rPh sb="6" eb="8">
      <t>ゲンチ</t>
    </rPh>
    <rPh sb="8" eb="10">
      <t>スイアツ</t>
    </rPh>
    <rPh sb="11" eb="12">
      <t>アサ</t>
    </rPh>
    <rPh sb="12" eb="13">
      <t>ヒル</t>
    </rPh>
    <rPh sb="13" eb="14">
      <t>ユウ</t>
    </rPh>
    <phoneticPr fontId="2"/>
  </si>
  <si>
    <t xml:space="preserve"> (m)</t>
    <phoneticPr fontId="2"/>
  </si>
  <si>
    <t>①</t>
    <phoneticPr fontId="2"/>
  </si>
  <si>
    <t>損失水頭(m)</t>
    <phoneticPr fontId="2"/>
  </si>
  <si>
    <t>A</t>
    <phoneticPr fontId="2"/>
  </si>
  <si>
    <t>～</t>
    <phoneticPr fontId="2"/>
  </si>
  <si>
    <t>B</t>
    <phoneticPr fontId="2"/>
  </si>
  <si>
    <t>Ｂ</t>
    <phoneticPr fontId="2"/>
  </si>
  <si>
    <t>～</t>
    <phoneticPr fontId="2"/>
  </si>
  <si>
    <t>Ｃ</t>
    <phoneticPr fontId="2"/>
  </si>
  <si>
    <t>Ｃ</t>
    <phoneticPr fontId="2"/>
  </si>
  <si>
    <t>Ｄ</t>
    <phoneticPr fontId="2"/>
  </si>
  <si>
    <t>Ｄ</t>
    <phoneticPr fontId="2"/>
  </si>
  <si>
    <t>Ｅ</t>
    <phoneticPr fontId="2"/>
  </si>
  <si>
    <t>Ｆ</t>
    <phoneticPr fontId="2"/>
  </si>
  <si>
    <t>Ｇ</t>
    <phoneticPr fontId="2"/>
  </si>
  <si>
    <t>Ｈ</t>
    <phoneticPr fontId="2"/>
  </si>
  <si>
    <t>Ｉ</t>
    <phoneticPr fontId="2"/>
  </si>
  <si>
    <t>Ｉ</t>
    <phoneticPr fontId="2"/>
  </si>
  <si>
    <t>Ｊ</t>
    <phoneticPr fontId="2"/>
  </si>
  <si>
    <t>Ｋ</t>
    <phoneticPr fontId="2"/>
  </si>
  <si>
    <t>Ｋ</t>
    <phoneticPr fontId="2"/>
  </si>
  <si>
    <t>Ｌ</t>
    <phoneticPr fontId="2"/>
  </si>
  <si>
    <t>Ｌ</t>
    <phoneticPr fontId="2"/>
  </si>
  <si>
    <t>Ｍ</t>
    <phoneticPr fontId="2"/>
  </si>
  <si>
    <t>Ｍ</t>
    <phoneticPr fontId="2"/>
  </si>
  <si>
    <t>Ｎ</t>
    <phoneticPr fontId="2"/>
  </si>
  <si>
    <t>Ｏ</t>
    <phoneticPr fontId="2"/>
  </si>
  <si>
    <t>Ｏ</t>
    <phoneticPr fontId="2"/>
  </si>
  <si>
    <t>Ｐ</t>
    <phoneticPr fontId="2"/>
  </si>
  <si>
    <t>Ｐ</t>
    <phoneticPr fontId="2"/>
  </si>
  <si>
    <t>Ｑ</t>
    <phoneticPr fontId="2"/>
  </si>
  <si>
    <t>Ｑ</t>
    <phoneticPr fontId="2"/>
  </si>
  <si>
    <t>Ｒ</t>
    <phoneticPr fontId="2"/>
  </si>
  <si>
    <t>Ｓ</t>
    <phoneticPr fontId="2"/>
  </si>
  <si>
    <t>S</t>
    <phoneticPr fontId="2"/>
  </si>
  <si>
    <t>T</t>
    <phoneticPr fontId="2"/>
  </si>
  <si>
    <t>U</t>
    <phoneticPr fontId="2"/>
  </si>
  <si>
    <t>U</t>
    <phoneticPr fontId="2"/>
  </si>
  <si>
    <t>V</t>
    <phoneticPr fontId="2"/>
  </si>
  <si>
    <t>V</t>
    <phoneticPr fontId="2"/>
  </si>
  <si>
    <t>W</t>
    <phoneticPr fontId="2"/>
  </si>
  <si>
    <t>X</t>
    <phoneticPr fontId="2"/>
  </si>
  <si>
    <t>X</t>
    <phoneticPr fontId="2"/>
  </si>
  <si>
    <t>Y</t>
    <phoneticPr fontId="2"/>
  </si>
  <si>
    <t>Z</t>
    <phoneticPr fontId="2"/>
  </si>
  <si>
    <t>②</t>
    <phoneticPr fontId="2"/>
  </si>
  <si>
    <t>損失水頭(m)</t>
    <phoneticPr fontId="2"/>
  </si>
  <si>
    <t xml:space="preserve"> (m)</t>
    <phoneticPr fontId="2"/>
  </si>
  <si>
    <t>ボール型止水栓</t>
    <phoneticPr fontId="2"/>
  </si>
  <si>
    <t>ものだけです。</t>
    <phoneticPr fontId="2"/>
  </si>
  <si>
    <t>メーター</t>
    <phoneticPr fontId="2"/>
  </si>
  <si>
    <t>スルース弁</t>
    <phoneticPr fontId="2"/>
  </si>
  <si>
    <t>逆止弁</t>
    <phoneticPr fontId="2"/>
  </si>
  <si>
    <t>とします。</t>
    <phoneticPr fontId="2"/>
  </si>
  <si>
    <t>(㎜)</t>
    <phoneticPr fontId="2"/>
  </si>
  <si>
    <t>(㎡）</t>
    <phoneticPr fontId="2"/>
  </si>
  <si>
    <t>B</t>
    <phoneticPr fontId="2"/>
  </si>
  <si>
    <t>C</t>
    <phoneticPr fontId="2"/>
  </si>
  <si>
    <t>E</t>
    <phoneticPr fontId="2"/>
  </si>
  <si>
    <t>F</t>
    <phoneticPr fontId="2"/>
  </si>
  <si>
    <t>G</t>
    <phoneticPr fontId="2"/>
  </si>
  <si>
    <t>G</t>
    <phoneticPr fontId="2"/>
  </si>
  <si>
    <t>H</t>
    <phoneticPr fontId="2"/>
  </si>
  <si>
    <t>I</t>
    <phoneticPr fontId="2"/>
  </si>
  <si>
    <t>～</t>
    <phoneticPr fontId="2"/>
  </si>
  <si>
    <t>Ｋ</t>
    <phoneticPr fontId="2"/>
  </si>
  <si>
    <t>Ｌ</t>
    <phoneticPr fontId="2"/>
  </si>
  <si>
    <t>Ｎ</t>
    <phoneticPr fontId="2"/>
  </si>
  <si>
    <t>P</t>
    <phoneticPr fontId="2"/>
  </si>
  <si>
    <t>ことができます。</t>
    <phoneticPr fontId="2"/>
  </si>
  <si>
    <t>Q</t>
    <phoneticPr fontId="2"/>
  </si>
  <si>
    <t>R</t>
    <phoneticPr fontId="2"/>
  </si>
  <si>
    <t>S</t>
    <phoneticPr fontId="2"/>
  </si>
  <si>
    <t>W</t>
    <phoneticPr fontId="2"/>
  </si>
  <si>
    <t>Y</t>
    <phoneticPr fontId="2"/>
  </si>
  <si>
    <t>９０°エルボ</t>
    <phoneticPr fontId="2"/>
  </si>
  <si>
    <t>チーズ</t>
    <phoneticPr fontId="2"/>
  </si>
  <si>
    <t>スルースバルブ</t>
    <phoneticPr fontId="2"/>
  </si>
  <si>
    <t>チーズ</t>
    <phoneticPr fontId="2"/>
  </si>
  <si>
    <t>H</t>
    <phoneticPr fontId="2"/>
  </si>
  <si>
    <t>～</t>
    <phoneticPr fontId="2"/>
  </si>
  <si>
    <t>I</t>
    <phoneticPr fontId="2"/>
  </si>
  <si>
    <t>Ｉ</t>
    <phoneticPr fontId="2"/>
  </si>
  <si>
    <t>Ｊ</t>
    <phoneticPr fontId="2"/>
  </si>
  <si>
    <t>Ｋ</t>
    <phoneticPr fontId="2"/>
  </si>
  <si>
    <t>Ｌ</t>
    <phoneticPr fontId="2"/>
  </si>
  <si>
    <t>Ｍ</t>
    <phoneticPr fontId="2"/>
  </si>
  <si>
    <t>Ｎ</t>
    <phoneticPr fontId="2"/>
  </si>
  <si>
    <t>O</t>
    <phoneticPr fontId="2"/>
  </si>
  <si>
    <t>P</t>
    <phoneticPr fontId="2"/>
  </si>
  <si>
    <t>Q</t>
    <phoneticPr fontId="2"/>
  </si>
  <si>
    <t>R</t>
    <phoneticPr fontId="2"/>
  </si>
  <si>
    <t>S</t>
    <phoneticPr fontId="2"/>
  </si>
  <si>
    <t>T</t>
    <phoneticPr fontId="2"/>
  </si>
  <si>
    <t>U</t>
    <phoneticPr fontId="2"/>
  </si>
  <si>
    <t>V</t>
    <phoneticPr fontId="2"/>
  </si>
  <si>
    <t>W</t>
    <phoneticPr fontId="2"/>
  </si>
  <si>
    <t>X</t>
    <phoneticPr fontId="2"/>
  </si>
  <si>
    <t>Y</t>
    <phoneticPr fontId="2"/>
  </si>
  <si>
    <t>Z</t>
    <phoneticPr fontId="2"/>
  </si>
  <si>
    <t>口径・流量の数値を入力すると</t>
    <rPh sb="0" eb="2">
      <t>コウケイ</t>
    </rPh>
    <rPh sb="3" eb="5">
      <t>リュウリョウ</t>
    </rPh>
    <phoneticPr fontId="2"/>
  </si>
  <si>
    <t>この時、流速が計算範囲の規定値を</t>
    <rPh sb="2" eb="3">
      <t>トキ</t>
    </rPh>
    <rPh sb="7" eb="9">
      <t>ケイサン</t>
    </rPh>
    <rPh sb="9" eb="11">
      <t>ハンイ</t>
    </rPh>
    <rPh sb="12" eb="14">
      <t>キテイ</t>
    </rPh>
    <rPh sb="14" eb="15">
      <t>チ</t>
    </rPh>
    <phoneticPr fontId="2"/>
  </si>
  <si>
    <t>超えていないか確認します。（BL基準,</t>
    <rPh sb="7" eb="9">
      <t>カクニン</t>
    </rPh>
    <rPh sb="16" eb="18">
      <t>キジュン</t>
    </rPh>
    <phoneticPr fontId="2"/>
  </si>
  <si>
    <t>３戸以上の共同住宅：1.5m/sec以内,</t>
    <phoneticPr fontId="2"/>
  </si>
  <si>
    <t>その他：2.0m/sec以内)</t>
    <phoneticPr fontId="2"/>
  </si>
  <si>
    <t>もし、流速が規定値を超えた場合は、</t>
    <phoneticPr fontId="2"/>
  </si>
  <si>
    <t>その区間の口径などの見直しが必要</t>
    <phoneticPr fontId="2"/>
  </si>
  <si>
    <t>協議の上、その可否を判断してください。</t>
    <phoneticPr fontId="2"/>
  </si>
  <si>
    <t>よって異なる場合があるため、水道局と</t>
    <phoneticPr fontId="2"/>
  </si>
  <si>
    <t>です。流速の規定値は建物の形態に</t>
    <rPh sb="6" eb="8">
      <t>キテイ</t>
    </rPh>
    <rPh sb="7" eb="8">
      <t>テイ</t>
    </rPh>
    <phoneticPr fontId="2"/>
  </si>
  <si>
    <t>これは「単位」を変えて記載して</t>
    <rPh sb="11" eb="13">
      <t>キサイ</t>
    </rPh>
    <phoneticPr fontId="2"/>
  </si>
  <si>
    <t>いるだけです。左表には中央の</t>
    <rPh sb="7" eb="8">
      <t>ヒダリ</t>
    </rPh>
    <rPh sb="8" eb="9">
      <t>ヒョウ</t>
    </rPh>
    <rPh sb="11" eb="13">
      <t>チュウオウ</t>
    </rPh>
    <phoneticPr fontId="2"/>
  </si>
  <si>
    <t>「L/sec」の値を入力します。</t>
    <rPh sb="8" eb="9">
      <t>アタイ</t>
    </rPh>
    <rPh sb="10" eb="12">
      <t>ニュウリョク</t>
    </rPh>
    <phoneticPr fontId="2"/>
  </si>
  <si>
    <t>給水装置工事施行要領P3-18</t>
    <phoneticPr fontId="2"/>
  </si>
  <si>
    <t>以降の表中の同時使用水量には</t>
    <phoneticPr fontId="2"/>
  </si>
  <si>
    <t>３種類の数値が記載されています。</t>
    <phoneticPr fontId="2"/>
  </si>
  <si>
    <t>３回測定し、３回とも0.250MPaを上回</t>
    <rPh sb="1" eb="2">
      <t>カイ</t>
    </rPh>
    <rPh sb="2" eb="4">
      <t>ソクテイ</t>
    </rPh>
    <rPh sb="7" eb="8">
      <t>カイ</t>
    </rPh>
    <rPh sb="19" eb="20">
      <t>ウワ</t>
    </rPh>
    <rPh sb="20" eb="21">
      <t>マワ</t>
    </rPh>
    <phoneticPr fontId="2"/>
  </si>
  <si>
    <t>われば0.250MPa、一回でも下回れば</t>
    <rPh sb="12" eb="14">
      <t>イッカイ</t>
    </rPh>
    <rPh sb="16" eb="18">
      <t>シタマワ</t>
    </rPh>
    <phoneticPr fontId="2"/>
  </si>
  <si>
    <t>0.20MPaで計算します。変更は設計</t>
    <phoneticPr fontId="2"/>
  </si>
  <si>
    <t>水圧の水色のセルをピックし「0.20MPa」</t>
    <phoneticPr fontId="2"/>
  </si>
  <si>
    <t>朝　霞　市　直　結　直　圧　方　式　水　理　計　算　書</t>
    <rPh sb="0" eb="1">
      <t>アサ</t>
    </rPh>
    <rPh sb="2" eb="3">
      <t>カスミ</t>
    </rPh>
    <rPh sb="4" eb="5">
      <t>シ</t>
    </rPh>
    <rPh sb="6" eb="7">
      <t>チョク</t>
    </rPh>
    <rPh sb="8" eb="9">
      <t>ケツ</t>
    </rPh>
    <rPh sb="10" eb="11">
      <t>チョク</t>
    </rPh>
    <rPh sb="12" eb="13">
      <t>アツ</t>
    </rPh>
    <rPh sb="14" eb="15">
      <t>ホウ</t>
    </rPh>
    <rPh sb="16" eb="17">
      <t>シキ</t>
    </rPh>
    <rPh sb="18" eb="19">
      <t>ミズ</t>
    </rPh>
    <rPh sb="20" eb="21">
      <t>リ</t>
    </rPh>
    <rPh sb="22" eb="23">
      <t>ケイ</t>
    </rPh>
    <rPh sb="24" eb="25">
      <t>サン</t>
    </rPh>
    <rPh sb="26" eb="27">
      <t>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</si>
</sst>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76" formatCode="0.00000_ "/>
    <numFmt numFmtId="177" formatCode="0.00&quot;m&quot;"/>
    <numFmt numFmtId="178" formatCode="0.000"/>
    <numFmt numFmtId="179" formatCode="0.0000"/>
    <numFmt numFmtId="180" formatCode="0.0"/>
    <numFmt numFmtId="181" formatCode="0.00000"/>
    <numFmt numFmtId="182" formatCode="&quot;φ&quot;0&quot;mm&quot;"/>
    <numFmt numFmtId="183" formatCode="&quot;φ&quot;0"/>
    <numFmt numFmtId="184" formatCode="#,##0.000&quot;MPa&quot;"/>
    <numFmt numFmtId="185" formatCode="0&quot;戸&quot;"/>
    <numFmt numFmtId="186" formatCode="&quot;φ&quot;0&quot;㎜&quot;"/>
    <numFmt numFmtId="187" formatCode="0&quot;KPa&quot;"/>
    <numFmt numFmtId="188" formatCode="0.0&quot;kgf/c㎡&quot;"/>
    <numFmt numFmtId="189" formatCode="#,##0.00&quot;L/sec&quot;"/>
  </numFmts>
  <fonts count="2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1"/>
      <color indexed="10"/>
      <name val="ＭＳ Ｐゴシック"/>
      <family val="3"/>
      <charset val="128"/>
    </font>
    <font>
      <sz val="11"/>
      <color indexed="48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0"/>
      <name val="ＭＳ 明朝"/>
      <family val="1"/>
      <charset val="128"/>
    </font>
    <font>
      <b/>
      <sz val="10"/>
      <name val="HG丸ｺﾞｼｯｸM-PRO"/>
      <family val="3"/>
      <charset val="128"/>
    </font>
    <font>
      <i/>
      <sz val="9"/>
      <name val="ＭＳ Ｐ明朝"/>
      <family val="1"/>
      <charset val="128"/>
    </font>
    <font>
      <b/>
      <sz val="9"/>
      <name val="ＭＳ Ｐゴシック"/>
      <family val="3"/>
      <charset val="128"/>
    </font>
    <font>
      <i/>
      <sz val="9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1"/>
      <color rgb="FF0000FF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</fills>
  <borders count="10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12"/>
      </left>
      <right/>
      <top/>
      <bottom/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medium">
        <color indexed="48"/>
      </bottom>
      <diagonal/>
    </border>
    <border>
      <left style="dashed">
        <color indexed="39"/>
      </left>
      <right/>
      <top/>
      <bottom/>
      <diagonal/>
    </border>
    <border>
      <left style="hair">
        <color indexed="10"/>
      </left>
      <right style="hair">
        <color indexed="10"/>
      </right>
      <top/>
      <bottom style="hair">
        <color indexed="10"/>
      </bottom>
      <diagonal/>
    </border>
    <border>
      <left style="hair">
        <color indexed="10"/>
      </left>
      <right style="hair">
        <color indexed="10"/>
      </right>
      <top style="hair">
        <color indexed="10"/>
      </top>
      <bottom style="hair">
        <color indexed="1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8"/>
      </left>
      <right style="thin">
        <color indexed="64"/>
      </right>
      <top style="medium">
        <color indexed="48"/>
      </top>
      <bottom style="medium">
        <color indexed="48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10"/>
      </left>
      <right/>
      <top style="hair">
        <color indexed="10"/>
      </top>
      <bottom style="hair">
        <color indexed="10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 diagonalUp="1"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 style="hair">
        <color indexed="64"/>
      </diagonal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10"/>
      </right>
      <top style="hair">
        <color indexed="10"/>
      </top>
      <bottom style="hair">
        <color indexed="10"/>
      </bottom>
      <diagonal/>
    </border>
    <border>
      <left style="hair">
        <color indexed="10"/>
      </left>
      <right style="hair">
        <color indexed="10"/>
      </right>
      <top style="hair">
        <color indexed="10"/>
      </top>
      <bottom/>
      <diagonal/>
    </border>
    <border>
      <left style="hair">
        <color indexed="10"/>
      </left>
      <right/>
      <top style="hair">
        <color indexed="1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48"/>
      </right>
      <top style="medium">
        <color indexed="48"/>
      </top>
      <bottom style="medium">
        <color indexed="4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 style="hair">
        <color indexed="10"/>
      </top>
      <bottom/>
      <diagonal/>
    </border>
    <border>
      <left style="hair">
        <color indexed="10"/>
      </left>
      <right/>
      <top/>
      <bottom/>
      <diagonal/>
    </border>
    <border>
      <left/>
      <right/>
      <top style="hair">
        <color indexed="10"/>
      </top>
      <bottom style="hair">
        <color indexed="10"/>
      </bottom>
      <diagonal/>
    </border>
    <border>
      <left style="dotted">
        <color rgb="FF0000FF"/>
      </left>
      <right/>
      <top/>
      <bottom/>
      <diagonal/>
    </border>
    <border>
      <left/>
      <right style="dotted">
        <color rgb="FF0000FF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75">
    <xf numFmtId="0" fontId="0" fillId="0" borderId="0" xfId="0"/>
    <xf numFmtId="0" fontId="3" fillId="0" borderId="1" xfId="0" applyFont="1" applyBorder="1" applyAlignment="1">
      <alignment horizontal="center"/>
    </xf>
    <xf numFmtId="0" fontId="0" fillId="0" borderId="0" xfId="0" applyFill="1" applyBorder="1"/>
    <xf numFmtId="0" fontId="0" fillId="0" borderId="0" xfId="0" applyBorder="1"/>
    <xf numFmtId="0" fontId="0" fillId="0" borderId="2" xfId="0" applyBorder="1"/>
    <xf numFmtId="0" fontId="4" fillId="0" borderId="0" xfId="0" applyFont="1"/>
    <xf numFmtId="0" fontId="0" fillId="0" borderId="0" xfId="0" applyFill="1" applyBorder="1" applyAlignment="1">
      <alignment horizontal="center"/>
    </xf>
    <xf numFmtId="0" fontId="7" fillId="0" borderId="0" xfId="0" applyFont="1"/>
    <xf numFmtId="0" fontId="10" fillId="0" borderId="0" xfId="0" applyFont="1"/>
    <xf numFmtId="0" fontId="11" fillId="0" borderId="0" xfId="0" applyFont="1" applyBorder="1"/>
    <xf numFmtId="0" fontId="11" fillId="0" borderId="0" xfId="0" applyFont="1" applyBorder="1" applyAlignment="1">
      <alignment horizontal="left" indent="1"/>
    </xf>
    <xf numFmtId="0" fontId="11" fillId="0" borderId="0" xfId="0" applyFont="1"/>
    <xf numFmtId="0" fontId="11" fillId="0" borderId="3" xfId="0" applyFont="1" applyBorder="1" applyAlignment="1">
      <alignment horizontal="left" indent="1"/>
    </xf>
    <xf numFmtId="0" fontId="11" fillId="0" borderId="3" xfId="0" applyFont="1" applyBorder="1"/>
    <xf numFmtId="0" fontId="11" fillId="0" borderId="0" xfId="0" quotePrefix="1" applyFont="1" applyBorder="1" applyAlignment="1">
      <alignment horizontal="left" indent="1"/>
    </xf>
    <xf numFmtId="0" fontId="11" fillId="0" borderId="4" xfId="0" applyFont="1" applyBorder="1" applyAlignment="1">
      <alignment horizontal="center" vertical="center"/>
    </xf>
    <xf numFmtId="0" fontId="9" fillId="0" borderId="0" xfId="0" applyFont="1"/>
    <xf numFmtId="0" fontId="10" fillId="0" borderId="5" xfId="0" applyFont="1" applyBorder="1" applyProtection="1"/>
    <xf numFmtId="0" fontId="11" fillId="0" borderId="5" xfId="0" applyFont="1" applyBorder="1" applyAlignment="1" applyProtection="1">
      <alignment horizontal="left" indent="1"/>
    </xf>
    <xf numFmtId="0" fontId="11" fillId="0" borderId="5" xfId="0" applyFont="1" applyBorder="1" applyProtection="1"/>
    <xf numFmtId="0" fontId="0" fillId="2" borderId="0" xfId="0" applyFill="1"/>
    <xf numFmtId="0" fontId="14" fillId="0" borderId="0" xfId="0" applyFont="1" applyBorder="1"/>
    <xf numFmtId="0" fontId="15" fillId="0" borderId="0" xfId="0" applyFont="1"/>
    <xf numFmtId="0" fontId="13" fillId="0" borderId="0" xfId="0" applyFont="1" applyAlignment="1">
      <alignment horizontal="left"/>
    </xf>
    <xf numFmtId="1" fontId="13" fillId="3" borderId="6" xfId="0" applyNumberFormat="1" applyFont="1" applyFill="1" applyBorder="1"/>
    <xf numFmtId="1" fontId="1" fillId="4" borderId="7" xfId="0" applyNumberFormat="1" applyFont="1" applyFill="1" applyBorder="1"/>
    <xf numFmtId="1" fontId="13" fillId="0" borderId="7" xfId="0" applyNumberFormat="1" applyFont="1" applyBorder="1"/>
    <xf numFmtId="0" fontId="4" fillId="0" borderId="7" xfId="0" applyFont="1" applyBorder="1"/>
    <xf numFmtId="0" fontId="0" fillId="0" borderId="0" xfId="0" applyAlignment="1"/>
    <xf numFmtId="0" fontId="15" fillId="0" borderId="0" xfId="0" applyFont="1" applyAlignment="1"/>
    <xf numFmtId="0" fontId="15" fillId="0" borderId="0" xfId="0" applyFont="1" applyBorder="1" applyAlignment="1"/>
    <xf numFmtId="0" fontId="15" fillId="0" borderId="8" xfId="0" applyFont="1" applyBorder="1" applyAlignment="1">
      <alignment horizontal="right" vertical="center"/>
    </xf>
    <xf numFmtId="1" fontId="1" fillId="0" borderId="9" xfId="0" applyNumberFormat="1" applyFont="1" applyBorder="1" applyAlignment="1">
      <alignment horizontal="right"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17" fillId="0" borderId="0" xfId="0" applyFont="1" applyAlignment="1"/>
    <xf numFmtId="0" fontId="1" fillId="0" borderId="9" xfId="0" applyFont="1" applyBorder="1" applyAlignment="1">
      <alignment horizontal="right" vertical="center"/>
    </xf>
    <xf numFmtId="0" fontId="5" fillId="0" borderId="0" xfId="0" applyFont="1" applyFill="1" applyBorder="1"/>
    <xf numFmtId="0" fontId="11" fillId="0" borderId="11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0" xfId="0" applyFont="1" applyBorder="1"/>
    <xf numFmtId="0" fontId="3" fillId="0" borderId="0" xfId="0" applyFont="1" applyBorder="1"/>
    <xf numFmtId="0" fontId="8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180" fontId="3" fillId="5" borderId="1" xfId="0" applyNumberFormat="1" applyFont="1" applyFill="1" applyBorder="1"/>
    <xf numFmtId="2" fontId="3" fillId="0" borderId="1" xfId="0" applyNumberFormat="1" applyFont="1" applyBorder="1"/>
    <xf numFmtId="180" fontId="3" fillId="0" borderId="8" xfId="0" applyNumberFormat="1" applyFont="1" applyBorder="1"/>
    <xf numFmtId="0" fontId="3" fillId="6" borderId="1" xfId="0" quotePrefix="1" applyFont="1" applyFill="1" applyBorder="1"/>
    <xf numFmtId="0" fontId="3" fillId="0" borderId="10" xfId="0" applyFont="1" applyBorder="1"/>
    <xf numFmtId="180" fontId="3" fillId="0" borderId="1" xfId="0" applyNumberFormat="1" applyFont="1" applyFill="1" applyBorder="1"/>
    <xf numFmtId="0" fontId="3" fillId="0" borderId="9" xfId="0" applyFont="1" applyBorder="1" applyAlignment="1">
      <alignment horizontal="center"/>
    </xf>
    <xf numFmtId="180" fontId="3" fillId="0" borderId="9" xfId="0" applyNumberFormat="1" applyFont="1" applyFill="1" applyBorder="1"/>
    <xf numFmtId="2" fontId="3" fillId="0" borderId="9" xfId="0" applyNumberFormat="1" applyFont="1" applyBorder="1"/>
    <xf numFmtId="180" fontId="3" fillId="0" borderId="9" xfId="0" applyNumberFormat="1" applyFont="1" applyBorder="1"/>
    <xf numFmtId="0" fontId="3" fillId="0" borderId="2" xfId="0" applyFont="1" applyBorder="1"/>
    <xf numFmtId="0" fontId="3" fillId="0" borderId="9" xfId="0" applyFont="1" applyBorder="1"/>
    <xf numFmtId="180" fontId="3" fillId="0" borderId="1" xfId="0" applyNumberFormat="1" applyFont="1" applyBorder="1"/>
    <xf numFmtId="0" fontId="19" fillId="0" borderId="0" xfId="0" applyFont="1" applyBorder="1"/>
    <xf numFmtId="0" fontId="3" fillId="4" borderId="1" xfId="0" applyFont="1" applyFill="1" applyBorder="1"/>
    <xf numFmtId="0" fontId="3" fillId="0" borderId="0" xfId="0" applyFont="1"/>
    <xf numFmtId="1" fontId="3" fillId="6" borderId="13" xfId="0" applyNumberFormat="1" applyFont="1" applyFill="1" applyBorder="1"/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horizontal="left" indent="1"/>
    </xf>
    <xf numFmtId="0" fontId="1" fillId="0" borderId="7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indent="1"/>
    </xf>
    <xf numFmtId="0" fontId="8" fillId="4" borderId="7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13" fillId="0" borderId="8" xfId="0" applyFont="1" applyBorder="1" applyAlignment="1"/>
    <xf numFmtId="0" fontId="0" fillId="0" borderId="9" xfId="0" applyBorder="1"/>
    <xf numFmtId="0" fontId="0" fillId="0" borderId="10" xfId="0" applyBorder="1"/>
    <xf numFmtId="0" fontId="11" fillId="0" borderId="0" xfId="0" applyFont="1" applyAlignment="1">
      <alignment vertical="center"/>
    </xf>
    <xf numFmtId="0" fontId="1" fillId="7" borderId="0" xfId="0" applyFont="1" applyFill="1"/>
    <xf numFmtId="0" fontId="1" fillId="0" borderId="0" xfId="0" applyFont="1"/>
    <xf numFmtId="57" fontId="1" fillId="0" borderId="0" xfId="0" applyNumberFormat="1" applyFont="1"/>
    <xf numFmtId="0" fontId="4" fillId="0" borderId="0" xfId="0" applyFont="1" applyAlignment="1">
      <alignment horizontal="center"/>
    </xf>
    <xf numFmtId="0" fontId="4" fillId="7" borderId="0" xfId="0" applyFont="1" applyFill="1" applyAlignment="1">
      <alignment horizontal="center"/>
    </xf>
    <xf numFmtId="0" fontId="1" fillId="0" borderId="0" xfId="0" applyFont="1" applyBorder="1"/>
    <xf numFmtId="0" fontId="21" fillId="0" borderId="0" xfId="0" applyFont="1"/>
    <xf numFmtId="0" fontId="1" fillId="0" borderId="0" xfId="0" applyFont="1" applyFill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185" fontId="1" fillId="5" borderId="1" xfId="0" applyNumberFormat="1" applyFont="1" applyFill="1" applyBorder="1" applyAlignment="1" applyProtection="1">
      <alignment horizontal="center"/>
      <protection locked="0"/>
    </xf>
    <xf numFmtId="0" fontId="1" fillId="0" borderId="37" xfId="0" applyFont="1" applyFill="1" applyBorder="1" applyAlignment="1">
      <alignment horizontal="center"/>
    </xf>
    <xf numFmtId="0" fontId="1" fillId="0" borderId="69" xfId="0" applyFont="1" applyFill="1" applyBorder="1" applyAlignment="1">
      <alignment horizontal="center"/>
    </xf>
    <xf numFmtId="0" fontId="1" fillId="7" borderId="0" xfId="0" applyFont="1" applyFill="1" applyBorder="1"/>
    <xf numFmtId="0" fontId="1" fillId="0" borderId="2" xfId="0" applyFont="1" applyBorder="1"/>
    <xf numFmtId="0" fontId="1" fillId="0" borderId="2" xfId="0" applyFont="1" applyFill="1" applyBorder="1"/>
    <xf numFmtId="0" fontId="1" fillId="0" borderId="31" xfId="0" applyFont="1" applyBorder="1"/>
    <xf numFmtId="0" fontId="1" fillId="6" borderId="56" xfId="0" applyFont="1" applyFill="1" applyBorder="1"/>
    <xf numFmtId="0" fontId="1" fillId="6" borderId="55" xfId="0" applyFont="1" applyFill="1" applyBorder="1" applyAlignment="1">
      <alignment horizontal="center"/>
    </xf>
    <xf numFmtId="0" fontId="1" fillId="6" borderId="46" xfId="0" applyFont="1" applyFill="1" applyBorder="1"/>
    <xf numFmtId="0" fontId="1" fillId="6" borderId="26" xfId="0" applyFont="1" applyFill="1" applyBorder="1" applyAlignment="1">
      <alignment horizontal="center"/>
    </xf>
    <xf numFmtId="0" fontId="1" fillId="6" borderId="37" xfId="0" applyFont="1" applyFill="1" applyBorder="1"/>
    <xf numFmtId="0" fontId="1" fillId="6" borderId="65" xfId="0" applyFont="1" applyFill="1" applyBorder="1" applyAlignment="1">
      <alignment horizontal="center"/>
    </xf>
    <xf numFmtId="0" fontId="1" fillId="0" borderId="37" xfId="0" applyFont="1" applyFill="1" applyBorder="1"/>
    <xf numFmtId="0" fontId="1" fillId="0" borderId="63" xfId="0" applyFont="1" applyBorder="1" applyAlignment="1">
      <alignment horizontal="center"/>
    </xf>
    <xf numFmtId="188" fontId="1" fillId="4" borderId="1" xfId="0" applyNumberFormat="1" applyFont="1" applyFill="1" applyBorder="1"/>
    <xf numFmtId="187" fontId="1" fillId="4" borderId="1" xfId="0" applyNumberFormat="1" applyFont="1" applyFill="1" applyBorder="1"/>
    <xf numFmtId="0" fontId="1" fillId="0" borderId="61" xfId="0" applyFont="1" applyFill="1" applyBorder="1" applyAlignment="1">
      <alignment horizontal="center"/>
    </xf>
    <xf numFmtId="0" fontId="1" fillId="0" borderId="59" xfId="0" applyFont="1" applyFill="1" applyBorder="1" applyAlignment="1">
      <alignment horizontal="center"/>
    </xf>
    <xf numFmtId="186" fontId="1" fillId="0" borderId="34" xfId="0" applyNumberFormat="1" applyFont="1" applyFill="1" applyBorder="1" applyAlignment="1">
      <alignment horizontal="center"/>
    </xf>
    <xf numFmtId="0" fontId="1" fillId="0" borderId="60" xfId="0" applyFont="1" applyFill="1" applyBorder="1" applyAlignment="1">
      <alignment horizontal="center"/>
    </xf>
    <xf numFmtId="186" fontId="1" fillId="0" borderId="28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6" borderId="1" xfId="0" applyFont="1" applyFill="1" applyBorder="1"/>
    <xf numFmtId="186" fontId="1" fillId="0" borderId="24" xfId="0" applyNumberFormat="1" applyFont="1" applyFill="1" applyBorder="1" applyAlignment="1">
      <alignment horizontal="center"/>
    </xf>
    <xf numFmtId="0" fontId="1" fillId="6" borderId="58" xfId="0" applyFont="1" applyFill="1" applyBorder="1" applyAlignment="1">
      <alignment horizontal="center"/>
    </xf>
    <xf numFmtId="0" fontId="1" fillId="6" borderId="10" xfId="0" applyFont="1" applyFill="1" applyBorder="1"/>
    <xf numFmtId="0" fontId="1" fillId="6" borderId="8" xfId="0" applyFont="1" applyFill="1" applyBorder="1"/>
    <xf numFmtId="0" fontId="1" fillId="0" borderId="0" xfId="0" applyFont="1" applyAlignment="1">
      <alignment horizontal="center"/>
    </xf>
    <xf numFmtId="2" fontId="1" fillId="6" borderId="32" xfId="0" applyNumberFormat="1" applyFont="1" applyFill="1" applyBorder="1"/>
    <xf numFmtId="181" fontId="1" fillId="6" borderId="32" xfId="0" applyNumberFormat="1" applyFont="1" applyFill="1" applyBorder="1"/>
    <xf numFmtId="0" fontId="1" fillId="0" borderId="56" xfId="0" applyFont="1" applyBorder="1" applyAlignment="1">
      <alignment horizontal="center"/>
    </xf>
    <xf numFmtId="2" fontId="1" fillId="6" borderId="47" xfId="0" applyNumberFormat="1" applyFont="1" applyFill="1" applyBorder="1"/>
    <xf numFmtId="181" fontId="1" fillId="6" borderId="47" xfId="0" applyNumberFormat="1" applyFont="1" applyFill="1" applyBorder="1"/>
    <xf numFmtId="0" fontId="1" fillId="0" borderId="45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41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2" fontId="1" fillId="6" borderId="21" xfId="0" applyNumberFormat="1" applyFont="1" applyFill="1" applyBorder="1"/>
    <xf numFmtId="181" fontId="1" fillId="6" borderId="21" xfId="0" applyNumberFormat="1" applyFont="1" applyFill="1" applyBorder="1"/>
    <xf numFmtId="0" fontId="1" fillId="0" borderId="45" xfId="0" applyFont="1" applyFill="1" applyBorder="1" applyAlignment="1">
      <alignment horizontal="center"/>
    </xf>
    <xf numFmtId="0" fontId="1" fillId="0" borderId="46" xfId="0" applyFont="1" applyFill="1" applyBorder="1" applyAlignment="1">
      <alignment horizontal="center"/>
    </xf>
    <xf numFmtId="2" fontId="1" fillId="6" borderId="14" xfId="0" applyNumberFormat="1" applyFont="1" applyFill="1" applyBorder="1"/>
    <xf numFmtId="181" fontId="1" fillId="6" borderId="14" xfId="0" applyNumberFormat="1" applyFont="1" applyFill="1" applyBorder="1"/>
    <xf numFmtId="0" fontId="1" fillId="0" borderId="54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53" xfId="0" applyFont="1" applyFill="1" applyBorder="1" applyAlignment="1">
      <alignment horizontal="center"/>
    </xf>
    <xf numFmtId="0" fontId="1" fillId="8" borderId="1" xfId="0" applyFont="1" applyFill="1" applyBorder="1"/>
    <xf numFmtId="0" fontId="1" fillId="0" borderId="0" xfId="0" applyFont="1" applyBorder="1" applyAlignment="1">
      <alignment horizontal="center"/>
    </xf>
    <xf numFmtId="179" fontId="1" fillId="0" borderId="1" xfId="0" applyNumberFormat="1" applyFont="1" applyBorder="1" applyAlignment="1">
      <alignment horizontal="center"/>
    </xf>
    <xf numFmtId="183" fontId="1" fillId="0" borderId="1" xfId="0" applyNumberFormat="1" applyFont="1" applyBorder="1" applyAlignment="1">
      <alignment horizontal="center"/>
    </xf>
    <xf numFmtId="176" fontId="1" fillId="0" borderId="1" xfId="0" applyNumberFormat="1" applyFont="1" applyBorder="1" applyAlignment="1">
      <alignment horizontal="center"/>
    </xf>
    <xf numFmtId="182" fontId="1" fillId="0" borderId="0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186" fontId="1" fillId="5" borderId="1" xfId="0" applyNumberFormat="1" applyFont="1" applyFill="1" applyBorder="1" applyAlignment="1" applyProtection="1">
      <alignment horizontal="center"/>
      <protection locked="0"/>
    </xf>
    <xf numFmtId="177" fontId="1" fillId="5" borderId="1" xfId="0" applyNumberFormat="1" applyFont="1" applyFill="1" applyBorder="1" applyAlignment="1" applyProtection="1">
      <alignment horizontal="center"/>
      <protection locked="0"/>
    </xf>
    <xf numFmtId="0" fontId="1" fillId="0" borderId="16" xfId="0" applyFont="1" applyBorder="1" applyAlignment="1">
      <alignment horizontal="center"/>
    </xf>
    <xf numFmtId="179" fontId="1" fillId="0" borderId="16" xfId="0" applyNumberFormat="1" applyFont="1" applyBorder="1" applyAlignment="1">
      <alignment horizontal="center"/>
    </xf>
    <xf numFmtId="181" fontId="1" fillId="0" borderId="16" xfId="0" applyNumberFormat="1" applyFont="1" applyBorder="1" applyAlignment="1">
      <alignment horizontal="center"/>
    </xf>
    <xf numFmtId="0" fontId="1" fillId="6" borderId="31" xfId="0" applyFont="1" applyFill="1" applyBorder="1"/>
    <xf numFmtId="183" fontId="1" fillId="0" borderId="16" xfId="0" applyNumberFormat="1" applyFont="1" applyBorder="1" applyAlignment="1">
      <alignment horizontal="center"/>
    </xf>
    <xf numFmtId="0" fontId="1" fillId="6" borderId="21" xfId="0" applyFont="1" applyFill="1" applyBorder="1"/>
    <xf numFmtId="181" fontId="1" fillId="0" borderId="1" xfId="0" applyNumberFormat="1" applyFont="1" applyBorder="1" applyAlignment="1">
      <alignment horizontal="center"/>
    </xf>
    <xf numFmtId="0" fontId="1" fillId="6" borderId="22" xfId="0" applyFont="1" applyFill="1" applyBorder="1"/>
    <xf numFmtId="0" fontId="1" fillId="6" borderId="51" xfId="0" applyFont="1" applyFill="1" applyBorder="1"/>
    <xf numFmtId="0" fontId="1" fillId="5" borderId="30" xfId="0" applyFont="1" applyFill="1" applyBorder="1" applyAlignment="1">
      <alignment horizontal="center"/>
    </xf>
    <xf numFmtId="0" fontId="1" fillId="5" borderId="30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/>
    </xf>
    <xf numFmtId="0" fontId="1" fillId="5" borderId="14" xfId="0" applyFont="1" applyFill="1" applyBorder="1" applyAlignment="1">
      <alignment horizontal="center" vertical="center"/>
    </xf>
    <xf numFmtId="0" fontId="1" fillId="8" borderId="0" xfId="0" applyFont="1" applyFill="1"/>
    <xf numFmtId="0" fontId="22" fillId="0" borderId="3" xfId="0" applyFont="1" applyBorder="1" applyAlignment="1">
      <alignment horizontal="left" indent="1"/>
    </xf>
    <xf numFmtId="0" fontId="22" fillId="0" borderId="98" xfId="0" applyFont="1" applyBorder="1"/>
    <xf numFmtId="0" fontId="10" fillId="0" borderId="98" xfId="0" applyFont="1" applyBorder="1"/>
    <xf numFmtId="0" fontId="11" fillId="0" borderId="99" xfId="0" applyFont="1" applyBorder="1" applyAlignment="1">
      <alignment horizontal="left" indent="1"/>
    </xf>
    <xf numFmtId="0" fontId="11" fillId="0" borderId="98" xfId="0" applyFont="1" applyBorder="1" applyAlignment="1">
      <alignment horizontal="left" indent="1"/>
    </xf>
    <xf numFmtId="178" fontId="1" fillId="0" borderId="1" xfId="0" applyNumberFormat="1" applyFont="1" applyFill="1" applyBorder="1" applyAlignment="1">
      <alignment horizontal="center"/>
    </xf>
    <xf numFmtId="2" fontId="1" fillId="0" borderId="1" xfId="0" applyNumberFormat="1" applyFont="1" applyFill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36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6" borderId="35" xfId="0" applyFont="1" applyFill="1" applyBorder="1"/>
    <xf numFmtId="0" fontId="1" fillId="6" borderId="34" xfId="0" applyFont="1" applyFill="1" applyBorder="1"/>
    <xf numFmtId="181" fontId="1" fillId="6" borderId="33" xfId="0" applyNumberFormat="1" applyFont="1" applyFill="1" applyBorder="1"/>
    <xf numFmtId="0" fontId="1" fillId="6" borderId="33" xfId="0" applyFont="1" applyFill="1" applyBorder="1"/>
    <xf numFmtId="178" fontId="1" fillId="0" borderId="32" xfId="0" applyNumberFormat="1" applyFont="1" applyFill="1" applyBorder="1" applyAlignment="1">
      <alignment horizontal="center"/>
    </xf>
    <xf numFmtId="2" fontId="1" fillId="0" borderId="32" xfId="0" applyNumberFormat="1" applyFont="1" applyFill="1" applyBorder="1" applyAlignment="1">
      <alignment horizontal="center"/>
    </xf>
    <xf numFmtId="2" fontId="1" fillId="0" borderId="32" xfId="0" applyNumberFormat="1" applyFont="1" applyBorder="1" applyAlignment="1">
      <alignment horizontal="center"/>
    </xf>
    <xf numFmtId="186" fontId="1" fillId="0" borderId="32" xfId="0" applyNumberFormat="1" applyFont="1" applyFill="1" applyBorder="1" applyAlignment="1">
      <alignment horizontal="center"/>
    </xf>
    <xf numFmtId="0" fontId="1" fillId="5" borderId="32" xfId="0" applyFont="1" applyFill="1" applyBorder="1" applyAlignment="1" applyProtection="1">
      <alignment horizontal="center"/>
      <protection locked="0"/>
    </xf>
    <xf numFmtId="0" fontId="1" fillId="0" borderId="49" xfId="0" applyFont="1" applyFill="1" applyBorder="1" applyAlignment="1">
      <alignment horizontal="center"/>
    </xf>
    <xf numFmtId="0" fontId="1" fillId="0" borderId="40" xfId="0" applyFont="1" applyFill="1" applyBorder="1" applyAlignment="1">
      <alignment horizontal="center"/>
    </xf>
    <xf numFmtId="0" fontId="1" fillId="0" borderId="48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6" borderId="100" xfId="0" applyFont="1" applyFill="1" applyBorder="1"/>
    <xf numFmtId="0" fontId="1" fillId="6" borderId="28" xfId="0" applyFont="1" applyFill="1" applyBorder="1"/>
    <xf numFmtId="181" fontId="1" fillId="6" borderId="27" xfId="0" applyNumberFormat="1" applyFont="1" applyFill="1" applyBorder="1"/>
    <xf numFmtId="0" fontId="1" fillId="6" borderId="101" xfId="0" applyFont="1" applyFill="1" applyBorder="1"/>
    <xf numFmtId="0" fontId="1" fillId="6" borderId="102" xfId="0" applyFont="1" applyFill="1" applyBorder="1"/>
    <xf numFmtId="178" fontId="1" fillId="0" borderId="21" xfId="0" applyNumberFormat="1" applyFont="1" applyFill="1" applyBorder="1" applyAlignment="1">
      <alignment horizontal="center"/>
    </xf>
    <xf numFmtId="2" fontId="1" fillId="0" borderId="21" xfId="0" applyNumberFormat="1" applyFont="1" applyFill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186" fontId="1" fillId="0" borderId="21" xfId="0" applyNumberFormat="1" applyFont="1" applyFill="1" applyBorder="1" applyAlignment="1">
      <alignment horizontal="center"/>
    </xf>
    <xf numFmtId="0" fontId="1" fillId="5" borderId="21" xfId="0" applyFont="1" applyFill="1" applyBorder="1" applyAlignment="1" applyProtection="1">
      <alignment horizontal="center"/>
      <protection locked="0"/>
    </xf>
    <xf numFmtId="0" fontId="1" fillId="0" borderId="21" xfId="0" applyFont="1" applyFill="1" applyBorder="1" applyAlignment="1">
      <alignment horizontal="center"/>
    </xf>
    <xf numFmtId="0" fontId="1" fillId="6" borderId="29" xfId="0" applyFont="1" applyFill="1" applyBorder="1"/>
    <xf numFmtId="0" fontId="1" fillId="6" borderId="43" xfId="0" applyFont="1" applyFill="1" applyBorder="1"/>
    <xf numFmtId="181" fontId="1" fillId="6" borderId="42" xfId="0" applyNumberFormat="1" applyFont="1" applyFill="1" applyBorder="1"/>
    <xf numFmtId="0" fontId="1" fillId="6" borderId="27" xfId="0" applyFont="1" applyFill="1" applyBorder="1"/>
    <xf numFmtId="0" fontId="1" fillId="0" borderId="0" xfId="0" applyNumberFormat="1" applyFont="1" applyFill="1" applyBorder="1" applyAlignment="1">
      <alignment horizontal="center"/>
    </xf>
    <xf numFmtId="0" fontId="1" fillId="0" borderId="1" xfId="0" applyFont="1" applyBorder="1"/>
    <xf numFmtId="180" fontId="1" fillId="0" borderId="1" xfId="0" applyNumberFormat="1" applyFont="1" applyBorder="1" applyAlignment="1">
      <alignment horizontal="center"/>
    </xf>
    <xf numFmtId="0" fontId="1" fillId="0" borderId="50" xfId="0" applyFont="1" applyBorder="1"/>
    <xf numFmtId="183" fontId="1" fillId="0" borderId="1" xfId="0" applyNumberFormat="1" applyFont="1" applyFill="1" applyBorder="1" applyAlignment="1">
      <alignment horizontal="center"/>
    </xf>
    <xf numFmtId="180" fontId="1" fillId="0" borderId="1" xfId="0" applyNumberFormat="1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6" borderId="25" xfId="0" applyFont="1" applyFill="1" applyBorder="1"/>
    <xf numFmtId="178" fontId="1" fillId="0" borderId="22" xfId="0" applyNumberFormat="1" applyFont="1" applyFill="1" applyBorder="1" applyAlignment="1">
      <alignment horizontal="center"/>
    </xf>
    <xf numFmtId="2" fontId="1" fillId="0" borderId="22" xfId="0" applyNumberFormat="1" applyFont="1" applyFill="1" applyBorder="1" applyAlignment="1">
      <alignment horizontal="center"/>
    </xf>
    <xf numFmtId="2" fontId="1" fillId="0" borderId="22" xfId="0" applyNumberFormat="1" applyFont="1" applyBorder="1" applyAlignment="1">
      <alignment horizontal="center"/>
    </xf>
    <xf numFmtId="186" fontId="1" fillId="0" borderId="22" xfId="0" applyNumberFormat="1" applyFont="1" applyFill="1" applyBorder="1" applyAlignment="1">
      <alignment horizontal="center"/>
    </xf>
    <xf numFmtId="0" fontId="1" fillId="5" borderId="22" xfId="0" applyFont="1" applyFill="1" applyBorder="1" applyAlignment="1" applyProtection="1">
      <alignment horizontal="center"/>
      <protection locked="0"/>
    </xf>
    <xf numFmtId="0" fontId="1" fillId="0" borderId="41" xfId="0" applyFont="1" applyFill="1" applyBorder="1" applyAlignment="1">
      <alignment horizontal="center"/>
    </xf>
    <xf numFmtId="0" fontId="1" fillId="0" borderId="39" xfId="0" applyFont="1" applyFill="1" applyBorder="1" applyAlignment="1">
      <alignment horizontal="center"/>
    </xf>
    <xf numFmtId="0" fontId="1" fillId="8" borderId="20" xfId="0" applyFont="1" applyFill="1" applyBorder="1"/>
    <xf numFmtId="0" fontId="1" fillId="8" borderId="19" xfId="0" applyFont="1" applyFill="1" applyBorder="1"/>
    <xf numFmtId="0" fontId="1" fillId="8" borderId="18" xfId="0" applyFont="1" applyFill="1" applyBorder="1"/>
    <xf numFmtId="0" fontId="1" fillId="6" borderId="1" xfId="0" applyFont="1" applyFill="1" applyBorder="1" applyAlignment="1">
      <alignment horizontal="center" vertical="center"/>
    </xf>
    <xf numFmtId="0" fontId="1" fillId="5" borderId="22" xfId="0" applyFont="1" applyFill="1" applyBorder="1"/>
    <xf numFmtId="0" fontId="1" fillId="0" borderId="2" xfId="0" applyFont="1" applyFill="1" applyBorder="1" applyAlignment="1">
      <alignment horizontal="center"/>
    </xf>
    <xf numFmtId="2" fontId="1" fillId="0" borderId="2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distributed" vertical="center"/>
    </xf>
    <xf numFmtId="0" fontId="1" fillId="0" borderId="47" xfId="0" applyFont="1" applyFill="1" applyBorder="1" applyAlignment="1">
      <alignment horizontal="center"/>
    </xf>
    <xf numFmtId="0" fontId="1" fillId="6" borderId="44" xfId="0" applyFont="1" applyFill="1" applyBorder="1"/>
    <xf numFmtId="0" fontId="1" fillId="6" borderId="24" xfId="0" applyFont="1" applyFill="1" applyBorder="1"/>
    <xf numFmtId="0" fontId="1" fillId="6" borderId="23" xfId="0" applyFont="1" applyFill="1" applyBorder="1"/>
    <xf numFmtId="178" fontId="1" fillId="0" borderId="14" xfId="0" applyNumberFormat="1" applyFont="1" applyFill="1" applyBorder="1" applyAlignment="1">
      <alignment horizontal="center"/>
    </xf>
    <xf numFmtId="0" fontId="1" fillId="0" borderId="38" xfId="0" applyFont="1" applyFill="1" applyBorder="1" applyAlignment="1">
      <alignment horizontal="center"/>
    </xf>
    <xf numFmtId="0" fontId="1" fillId="5" borderId="1" xfId="0" applyFont="1" applyFill="1" applyBorder="1"/>
    <xf numFmtId="0" fontId="1" fillId="0" borderId="9" xfId="0" applyFont="1" applyFill="1" applyBorder="1" applyAlignment="1">
      <alignment horizontal="center"/>
    </xf>
    <xf numFmtId="2" fontId="1" fillId="0" borderId="9" xfId="0" applyNumberFormat="1" applyFont="1" applyFill="1" applyBorder="1" applyAlignment="1">
      <alignment horizontal="center"/>
    </xf>
    <xf numFmtId="0" fontId="1" fillId="0" borderId="37" xfId="0" applyFont="1" applyBorder="1"/>
    <xf numFmtId="178" fontId="1" fillId="0" borderId="1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178" fontId="1" fillId="0" borderId="1" xfId="0" applyNumberFormat="1" applyFont="1" applyBorder="1"/>
    <xf numFmtId="2" fontId="1" fillId="0" borderId="1" xfId="0" applyNumberFormat="1" applyFont="1" applyBorder="1"/>
    <xf numFmtId="0" fontId="1" fillId="0" borderId="1" xfId="0" applyNumberFormat="1" applyFont="1" applyFill="1" applyBorder="1"/>
    <xf numFmtId="0" fontId="1" fillId="7" borderId="0" xfId="0" applyNumberFormat="1" applyFont="1" applyFill="1" applyBorder="1"/>
    <xf numFmtId="178" fontId="1" fillId="0" borderId="21" xfId="0" applyNumberFormat="1" applyFont="1" applyBorder="1" applyAlignment="1">
      <alignment horizontal="center"/>
    </xf>
    <xf numFmtId="186" fontId="1" fillId="5" borderId="32" xfId="0" applyNumberFormat="1" applyFont="1" applyFill="1" applyBorder="1" applyAlignment="1" applyProtection="1">
      <alignment horizontal="center"/>
      <protection locked="0"/>
    </xf>
    <xf numFmtId="0" fontId="1" fillId="0" borderId="31" xfId="0" applyNumberFormat="1" applyFont="1" applyFill="1" applyBorder="1"/>
    <xf numFmtId="186" fontId="1" fillId="5" borderId="21" xfId="0" applyNumberFormat="1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 applyBorder="1"/>
    <xf numFmtId="181" fontId="1" fillId="6" borderId="23" xfId="0" applyNumberFormat="1" applyFont="1" applyFill="1" applyBorder="1"/>
    <xf numFmtId="0" fontId="1" fillId="0" borderId="52" xfId="0" applyFont="1" applyBorder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/>
    </xf>
    <xf numFmtId="0" fontId="1" fillId="5" borderId="10" xfId="0" applyFont="1" applyFill="1" applyBorder="1"/>
    <xf numFmtId="0" fontId="1" fillId="6" borderId="9" xfId="0" applyFont="1" applyFill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62" xfId="0" applyFont="1" applyFill="1" applyBorder="1" applyAlignment="1">
      <alignment horizontal="center"/>
    </xf>
    <xf numFmtId="0" fontId="1" fillId="0" borderId="64" xfId="0" applyFont="1" applyBorder="1" applyAlignment="1">
      <alignment horizontal="center"/>
    </xf>
    <xf numFmtId="0" fontId="1" fillId="0" borderId="43" xfId="0" applyFont="1" applyFill="1" applyBorder="1" applyAlignment="1">
      <alignment horizontal="center"/>
    </xf>
    <xf numFmtId="0" fontId="1" fillId="6" borderId="19" xfId="0" applyFont="1" applyFill="1" applyBorder="1" applyAlignment="1">
      <alignment horizontal="center"/>
    </xf>
    <xf numFmtId="186" fontId="1" fillId="5" borderId="22" xfId="0" applyNumberFormat="1" applyFont="1" applyFill="1" applyBorder="1" applyAlignment="1" applyProtection="1">
      <alignment horizontal="center"/>
      <protection locked="0"/>
    </xf>
    <xf numFmtId="0" fontId="1" fillId="0" borderId="55" xfId="0" applyFont="1" applyBorder="1" applyAlignment="1">
      <alignment horizontal="center"/>
    </xf>
    <xf numFmtId="0" fontId="1" fillId="0" borderId="57" xfId="0" applyFont="1" applyBorder="1" applyAlignment="1">
      <alignment horizontal="center"/>
    </xf>
    <xf numFmtId="0" fontId="1" fillId="0" borderId="26" xfId="0" applyFont="1" applyFill="1" applyBorder="1" applyAlignment="1">
      <alignment horizontal="center"/>
    </xf>
    <xf numFmtId="0" fontId="10" fillId="0" borderId="0" xfId="0" applyFont="1" applyBorder="1"/>
    <xf numFmtId="0" fontId="22" fillId="0" borderId="0" xfId="0" applyFont="1" applyBorder="1" applyAlignment="1">
      <alignment horizontal="left" indent="1"/>
    </xf>
    <xf numFmtId="0" fontId="0" fillId="5" borderId="21" xfId="0" applyFont="1" applyFill="1" applyBorder="1" applyAlignment="1" applyProtection="1">
      <alignment horizontal="center"/>
      <protection locked="0"/>
    </xf>
    <xf numFmtId="0" fontId="0" fillId="0" borderId="0" xfId="0" applyFont="1" applyBorder="1"/>
    <xf numFmtId="178" fontId="1" fillId="6" borderId="1" xfId="0" applyNumberFormat="1" applyFont="1" applyFill="1" applyBorder="1"/>
    <xf numFmtId="0" fontId="1" fillId="6" borderId="78" xfId="0" applyFont="1" applyFill="1" applyBorder="1" applyAlignment="1">
      <alignment horizontal="center"/>
    </xf>
    <xf numFmtId="0" fontId="1" fillId="6" borderId="79" xfId="0" applyFont="1" applyFill="1" applyBorder="1" applyAlignment="1">
      <alignment horizontal="center"/>
    </xf>
    <xf numFmtId="177" fontId="1" fillId="0" borderId="80" xfId="0" applyNumberFormat="1" applyFont="1" applyFill="1" applyBorder="1" applyAlignment="1">
      <alignment horizontal="center"/>
    </xf>
    <xf numFmtId="177" fontId="1" fillId="0" borderId="87" xfId="0" applyNumberFormat="1" applyFont="1" applyFill="1" applyBorder="1" applyAlignment="1">
      <alignment horizontal="center"/>
    </xf>
    <xf numFmtId="177" fontId="1" fillId="0" borderId="81" xfId="0" applyNumberFormat="1" applyFont="1" applyFill="1" applyBorder="1" applyAlignment="1">
      <alignment horizontal="center"/>
    </xf>
    <xf numFmtId="177" fontId="1" fillId="0" borderId="80" xfId="0" applyNumberFormat="1" applyFont="1" applyBorder="1" applyAlignment="1">
      <alignment horizontal="center"/>
    </xf>
    <xf numFmtId="0" fontId="1" fillId="0" borderId="87" xfId="0" applyFont="1" applyBorder="1" applyAlignment="1">
      <alignment horizontal="center"/>
    </xf>
    <xf numFmtId="0" fontId="1" fillId="0" borderId="81" xfId="0" applyFont="1" applyBorder="1" applyAlignment="1">
      <alignment horizontal="center"/>
    </xf>
    <xf numFmtId="177" fontId="1" fillId="0" borderId="81" xfId="0" applyNumberFormat="1" applyFont="1" applyBorder="1" applyAlignment="1">
      <alignment horizontal="center"/>
    </xf>
    <xf numFmtId="184" fontId="1" fillId="0" borderId="76" xfId="0" applyNumberFormat="1" applyFont="1" applyFill="1" applyBorder="1" applyAlignment="1">
      <alignment horizontal="center"/>
    </xf>
    <xf numFmtId="184" fontId="1" fillId="0" borderId="85" xfId="0" applyNumberFormat="1" applyFont="1" applyFill="1" applyBorder="1" applyAlignment="1">
      <alignment horizontal="center"/>
    </xf>
    <xf numFmtId="184" fontId="1" fillId="0" borderId="77" xfId="0" applyNumberFormat="1" applyFont="1" applyFill="1" applyBorder="1" applyAlignment="1">
      <alignment horizontal="center"/>
    </xf>
    <xf numFmtId="184" fontId="1" fillId="0" borderId="76" xfId="0" applyNumberFormat="1" applyFont="1" applyBorder="1" applyAlignment="1">
      <alignment horizontal="center"/>
    </xf>
    <xf numFmtId="184" fontId="1" fillId="0" borderId="85" xfId="0" applyNumberFormat="1" applyFont="1" applyBorder="1" applyAlignment="1">
      <alignment horizontal="center"/>
    </xf>
    <xf numFmtId="184" fontId="1" fillId="0" borderId="77" xfId="0" applyNumberFormat="1" applyFont="1" applyBorder="1" applyAlignment="1">
      <alignment horizontal="center"/>
    </xf>
    <xf numFmtId="177" fontId="1" fillId="0" borderId="26" xfId="0" applyNumberFormat="1" applyFont="1" applyFill="1" applyBorder="1" applyAlignment="1">
      <alignment horizontal="center"/>
    </xf>
    <xf numFmtId="177" fontId="1" fillId="0" borderId="45" xfId="0" applyNumberFormat="1" applyFont="1" applyFill="1" applyBorder="1" applyAlignment="1">
      <alignment horizontal="center"/>
    </xf>
    <xf numFmtId="177" fontId="1" fillId="0" borderId="55" xfId="0" applyNumberFormat="1" applyFont="1" applyFill="1" applyBorder="1" applyAlignment="1">
      <alignment horizontal="center"/>
    </xf>
    <xf numFmtId="177" fontId="1" fillId="0" borderId="57" xfId="0" applyNumberFormat="1" applyFont="1" applyFill="1" applyBorder="1" applyAlignment="1">
      <alignment horizontal="center"/>
    </xf>
    <xf numFmtId="177" fontId="1" fillId="0" borderId="31" xfId="0" applyNumberFormat="1" applyFont="1" applyFill="1" applyBorder="1" applyAlignment="1">
      <alignment horizontal="center"/>
    </xf>
    <xf numFmtId="177" fontId="1" fillId="0" borderId="71" xfId="0" applyNumberFormat="1" applyFont="1" applyFill="1" applyBorder="1" applyAlignment="1">
      <alignment horizontal="center"/>
    </xf>
    <xf numFmtId="0" fontId="1" fillId="6" borderId="86" xfId="0" applyFont="1" applyFill="1" applyBorder="1" applyAlignment="1">
      <alignment horizontal="center"/>
    </xf>
    <xf numFmtId="0" fontId="1" fillId="0" borderId="89" xfId="0" applyFont="1" applyBorder="1" applyAlignment="1">
      <alignment horizontal="center" vertical="center"/>
    </xf>
    <xf numFmtId="0" fontId="1" fillId="6" borderId="90" xfId="0" applyFont="1" applyFill="1" applyBorder="1" applyAlignment="1">
      <alignment horizontal="center"/>
    </xf>
    <xf numFmtId="0" fontId="1" fillId="6" borderId="91" xfId="0" applyFont="1" applyFill="1" applyBorder="1" applyAlignment="1">
      <alignment horizontal="center"/>
    </xf>
    <xf numFmtId="0" fontId="1" fillId="6" borderId="92" xfId="0" applyFont="1" applyFill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71" xfId="0" applyFont="1" applyBorder="1" applyAlignment="1">
      <alignment horizontal="center"/>
    </xf>
    <xf numFmtId="2" fontId="1" fillId="0" borderId="64" xfId="0" applyNumberFormat="1" applyFont="1" applyBorder="1" applyAlignment="1">
      <alignment horizontal="center"/>
    </xf>
    <xf numFmtId="0" fontId="1" fillId="0" borderId="64" xfId="0" applyFont="1" applyBorder="1" applyAlignment="1">
      <alignment horizontal="center"/>
    </xf>
    <xf numFmtId="0" fontId="1" fillId="0" borderId="82" xfId="0" applyFont="1" applyBorder="1" applyAlignment="1">
      <alignment horizontal="center"/>
    </xf>
    <xf numFmtId="178" fontId="1" fillId="0" borderId="82" xfId="0" applyNumberFormat="1" applyFont="1" applyBorder="1" applyAlignment="1">
      <alignment horizontal="center"/>
    </xf>
    <xf numFmtId="178" fontId="1" fillId="0" borderId="83" xfId="0" applyNumberFormat="1" applyFont="1" applyBorder="1" applyAlignment="1">
      <alignment horizontal="center"/>
    </xf>
    <xf numFmtId="177" fontId="1" fillId="0" borderId="39" xfId="0" applyNumberFormat="1" applyFont="1" applyFill="1" applyBorder="1" applyAlignment="1">
      <alignment horizontal="center"/>
    </xf>
    <xf numFmtId="177" fontId="1" fillId="0" borderId="41" xfId="0" applyNumberFormat="1" applyFont="1" applyFill="1" applyBorder="1" applyAlignment="1">
      <alignment horizontal="center"/>
    </xf>
    <xf numFmtId="0" fontId="1" fillId="0" borderId="88" xfId="0" applyFont="1" applyFill="1" applyBorder="1" applyAlignment="1">
      <alignment horizontal="center"/>
    </xf>
    <xf numFmtId="0" fontId="1" fillId="0" borderId="62" xfId="0" applyFont="1" applyBorder="1" applyAlignment="1">
      <alignment horizontal="center"/>
    </xf>
    <xf numFmtId="0" fontId="1" fillId="0" borderId="84" xfId="0" applyFont="1" applyBorder="1" applyAlignment="1">
      <alignment horizontal="center"/>
    </xf>
    <xf numFmtId="2" fontId="1" fillId="0" borderId="62" xfId="0" applyNumberFormat="1" applyFont="1" applyFill="1" applyBorder="1" applyAlignment="1">
      <alignment horizontal="center"/>
    </xf>
    <xf numFmtId="0" fontId="1" fillId="0" borderId="62" xfId="0" applyFont="1" applyFill="1" applyBorder="1" applyAlignment="1">
      <alignment horizontal="center"/>
    </xf>
    <xf numFmtId="178" fontId="1" fillId="0" borderId="62" xfId="0" applyNumberFormat="1" applyFont="1" applyBorder="1" applyAlignment="1">
      <alignment horizontal="center"/>
    </xf>
    <xf numFmtId="178" fontId="1" fillId="0" borderId="84" xfId="0" applyNumberFormat="1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2" fontId="1" fillId="0" borderId="43" xfId="0" applyNumberFormat="1" applyFont="1" applyFill="1" applyBorder="1" applyAlignment="1">
      <alignment horizontal="center"/>
    </xf>
    <xf numFmtId="0" fontId="1" fillId="0" borderId="43" xfId="0" applyFont="1" applyFill="1" applyBorder="1" applyAlignment="1">
      <alignment horizontal="center"/>
    </xf>
    <xf numFmtId="178" fontId="1" fillId="0" borderId="43" xfId="0" applyNumberFormat="1" applyFont="1" applyBorder="1" applyAlignment="1">
      <alignment horizontal="center"/>
    </xf>
    <xf numFmtId="178" fontId="1" fillId="0" borderId="44" xfId="0" applyNumberFormat="1" applyFont="1" applyBorder="1" applyAlignment="1">
      <alignment horizontal="center"/>
    </xf>
    <xf numFmtId="0" fontId="1" fillId="0" borderId="27" xfId="0" applyFont="1" applyFill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2" fontId="1" fillId="0" borderId="34" xfId="0" applyNumberFormat="1" applyFont="1" applyFill="1" applyBorder="1" applyAlignment="1">
      <alignment horizontal="center"/>
    </xf>
    <xf numFmtId="0" fontId="1" fillId="0" borderId="34" xfId="0" applyFont="1" applyFill="1" applyBorder="1" applyAlignment="1">
      <alignment horizontal="center"/>
    </xf>
    <xf numFmtId="178" fontId="1" fillId="0" borderId="34" xfId="0" applyNumberFormat="1" applyFont="1" applyBorder="1" applyAlignment="1">
      <alignment horizontal="center"/>
    </xf>
    <xf numFmtId="178" fontId="1" fillId="0" borderId="35" xfId="0" applyNumberFormat="1" applyFont="1" applyBorder="1" applyAlignment="1">
      <alignment horizontal="center"/>
    </xf>
    <xf numFmtId="2" fontId="1" fillId="0" borderId="28" xfId="0" applyNumberFormat="1" applyFont="1" applyFill="1" applyBorder="1" applyAlignment="1">
      <alignment horizontal="center"/>
    </xf>
    <xf numFmtId="0" fontId="1" fillId="0" borderId="28" xfId="0" applyFont="1" applyFill="1" applyBorder="1" applyAlignment="1">
      <alignment horizontal="center"/>
    </xf>
    <xf numFmtId="178" fontId="1" fillId="0" borderId="28" xfId="0" applyNumberFormat="1" applyFont="1" applyBorder="1" applyAlignment="1">
      <alignment horizontal="center"/>
    </xf>
    <xf numFmtId="178" fontId="1" fillId="0" borderId="29" xfId="0" applyNumberFormat="1" applyFont="1" applyBorder="1" applyAlignment="1">
      <alignment horizontal="center"/>
    </xf>
    <xf numFmtId="0" fontId="1" fillId="6" borderId="19" xfId="0" applyFont="1" applyFill="1" applyBorder="1" applyAlignment="1">
      <alignment horizontal="center"/>
    </xf>
    <xf numFmtId="0" fontId="1" fillId="6" borderId="20" xfId="0" applyFont="1" applyFill="1" applyBorder="1" applyAlignment="1">
      <alignment horizontal="center"/>
    </xf>
    <xf numFmtId="2" fontId="1" fillId="0" borderId="24" xfId="0" applyNumberFormat="1" applyFont="1" applyFill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178" fontId="1" fillId="0" borderId="24" xfId="0" applyNumberFormat="1" applyFont="1" applyBorder="1" applyAlignment="1">
      <alignment horizontal="center"/>
    </xf>
    <xf numFmtId="178" fontId="1" fillId="0" borderId="25" xfId="0" applyNumberFormat="1" applyFont="1" applyBorder="1" applyAlignment="1">
      <alignment horizontal="center"/>
    </xf>
    <xf numFmtId="186" fontId="1" fillId="5" borderId="55" xfId="0" applyNumberFormat="1" applyFont="1" applyFill="1" applyBorder="1" applyAlignment="1" applyProtection="1">
      <alignment horizontal="center"/>
      <protection locked="0"/>
    </xf>
    <xf numFmtId="186" fontId="1" fillId="5" borderId="57" xfId="0" applyNumberFormat="1" applyFont="1" applyFill="1" applyBorder="1" applyAlignment="1" applyProtection="1">
      <alignment horizontal="center"/>
      <protection locked="0"/>
    </xf>
    <xf numFmtId="2" fontId="1" fillId="5" borderId="55" xfId="0" applyNumberFormat="1" applyFont="1" applyFill="1" applyBorder="1" applyAlignment="1" applyProtection="1">
      <alignment horizontal="center"/>
      <protection locked="0"/>
    </xf>
    <xf numFmtId="2" fontId="1" fillId="5" borderId="57" xfId="0" applyNumberFormat="1" applyFont="1" applyFill="1" applyBorder="1" applyAlignment="1" applyProtection="1">
      <alignment horizontal="center"/>
      <protection locked="0"/>
    </xf>
    <xf numFmtId="0" fontId="1" fillId="0" borderId="55" xfId="0" applyFont="1" applyBorder="1" applyAlignment="1">
      <alignment horizontal="center"/>
    </xf>
    <xf numFmtId="0" fontId="1" fillId="0" borderId="57" xfId="0" applyFont="1" applyBorder="1" applyAlignment="1">
      <alignment horizontal="center"/>
    </xf>
    <xf numFmtId="180" fontId="1" fillId="5" borderId="55" xfId="0" applyNumberFormat="1" applyFont="1" applyFill="1" applyBorder="1" applyAlignment="1" applyProtection="1">
      <alignment horizontal="center"/>
      <protection locked="0"/>
    </xf>
    <xf numFmtId="180" fontId="1" fillId="5" borderId="57" xfId="0" applyNumberFormat="1" applyFont="1" applyFill="1" applyBorder="1" applyAlignment="1" applyProtection="1">
      <alignment horizontal="center"/>
      <protection locked="0"/>
    </xf>
    <xf numFmtId="2" fontId="1" fillId="0" borderId="55" xfId="0" applyNumberFormat="1" applyFont="1" applyBorder="1" applyAlignment="1">
      <alignment horizontal="center"/>
    </xf>
    <xf numFmtId="2" fontId="1" fillId="0" borderId="57" xfId="0" applyNumberFormat="1" applyFont="1" applyBorder="1" applyAlignment="1">
      <alignment horizontal="center"/>
    </xf>
    <xf numFmtId="0" fontId="1" fillId="0" borderId="93" xfId="0" applyFont="1" applyBorder="1" applyAlignment="1">
      <alignment horizontal="center"/>
    </xf>
    <xf numFmtId="0" fontId="1" fillId="0" borderId="94" xfId="0" applyFont="1" applyBorder="1" applyAlignment="1">
      <alignment horizontal="center"/>
    </xf>
    <xf numFmtId="2" fontId="1" fillId="0" borderId="31" xfId="0" applyNumberFormat="1" applyFont="1" applyBorder="1" applyAlignment="1">
      <alignment horizontal="center"/>
    </xf>
    <xf numFmtId="180" fontId="1" fillId="0" borderId="31" xfId="0" applyNumberFormat="1" applyFont="1" applyBorder="1" applyAlignment="1">
      <alignment horizontal="center"/>
    </xf>
    <xf numFmtId="180" fontId="1" fillId="0" borderId="71" xfId="0" applyNumberFormat="1" applyFont="1" applyBorder="1" applyAlignment="1">
      <alignment horizontal="center"/>
    </xf>
    <xf numFmtId="2" fontId="1" fillId="0" borderId="71" xfId="0" applyNumberFormat="1" applyFont="1" applyBorder="1" applyAlignment="1">
      <alignment horizontal="center"/>
    </xf>
    <xf numFmtId="186" fontId="1" fillId="5" borderId="26" xfId="0" applyNumberFormat="1" applyFont="1" applyFill="1" applyBorder="1" applyAlignment="1" applyProtection="1">
      <alignment horizontal="center"/>
      <protection locked="0"/>
    </xf>
    <xf numFmtId="186" fontId="1" fillId="5" borderId="45" xfId="0" applyNumberFormat="1" applyFont="1" applyFill="1" applyBorder="1" applyAlignment="1" applyProtection="1">
      <alignment horizontal="center"/>
      <protection locked="0"/>
    </xf>
    <xf numFmtId="2" fontId="1" fillId="5" borderId="26" xfId="0" applyNumberFormat="1" applyFont="1" applyFill="1" applyBorder="1" applyAlignment="1" applyProtection="1">
      <alignment horizontal="center"/>
      <protection locked="0"/>
    </xf>
    <xf numFmtId="2" fontId="1" fillId="5" borderId="45" xfId="0" applyNumberFormat="1" applyFont="1" applyFill="1" applyBorder="1" applyAlignment="1" applyProtection="1">
      <alignment horizontal="center"/>
      <protection locked="0"/>
    </xf>
    <xf numFmtId="0" fontId="1" fillId="0" borderId="48" xfId="0" applyFont="1" applyBorder="1" applyAlignment="1">
      <alignment horizontal="center"/>
    </xf>
    <xf numFmtId="0" fontId="1" fillId="0" borderId="49" xfId="0" applyFont="1" applyBorder="1" applyAlignment="1">
      <alignment horizontal="center"/>
    </xf>
    <xf numFmtId="180" fontId="1" fillId="5" borderId="26" xfId="0" applyNumberFormat="1" applyFont="1" applyFill="1" applyBorder="1" applyAlignment="1" applyProtection="1">
      <alignment horizontal="center"/>
      <protection locked="0"/>
    </xf>
    <xf numFmtId="180" fontId="1" fillId="5" borderId="45" xfId="0" applyNumberFormat="1" applyFont="1" applyFill="1" applyBorder="1" applyAlignment="1" applyProtection="1">
      <alignment horizontal="center"/>
      <protection locked="0"/>
    </xf>
    <xf numFmtId="2" fontId="1" fillId="0" borderId="26" xfId="0" applyNumberFormat="1" applyFont="1" applyBorder="1" applyAlignment="1">
      <alignment horizontal="center"/>
    </xf>
    <xf numFmtId="2" fontId="1" fillId="0" borderId="45" xfId="0" applyNumberFormat="1" applyFont="1" applyBorder="1" applyAlignment="1">
      <alignment horizontal="center"/>
    </xf>
    <xf numFmtId="186" fontId="1" fillId="5" borderId="21" xfId="0" applyNumberFormat="1" applyFont="1" applyFill="1" applyBorder="1" applyAlignment="1" applyProtection="1">
      <alignment horizontal="center"/>
      <protection locked="0"/>
    </xf>
    <xf numFmtId="2" fontId="0" fillId="5" borderId="26" xfId="0" applyNumberFormat="1" applyFont="1" applyFill="1" applyBorder="1" applyAlignment="1" applyProtection="1">
      <alignment horizontal="center"/>
      <protection locked="0"/>
    </xf>
    <xf numFmtId="186" fontId="1" fillId="5" borderId="22" xfId="0" applyNumberFormat="1" applyFont="1" applyFill="1" applyBorder="1" applyAlignment="1" applyProtection="1">
      <alignment horizontal="center"/>
      <protection locked="0"/>
    </xf>
    <xf numFmtId="2" fontId="1" fillId="5" borderId="22" xfId="0" applyNumberFormat="1" applyFont="1" applyFill="1" applyBorder="1" applyAlignment="1" applyProtection="1">
      <alignment horizontal="center"/>
      <protection locked="0"/>
    </xf>
    <xf numFmtId="0" fontId="1" fillId="0" borderId="52" xfId="0" applyFont="1" applyBorder="1" applyAlignment="1">
      <alignment horizontal="center"/>
    </xf>
    <xf numFmtId="0" fontId="1" fillId="0" borderId="72" xfId="0" applyFont="1" applyBorder="1" applyAlignment="1">
      <alignment horizontal="center"/>
    </xf>
    <xf numFmtId="180" fontId="1" fillId="5" borderId="22" xfId="0" applyNumberFormat="1" applyFont="1" applyFill="1" applyBorder="1" applyAlignment="1" applyProtection="1">
      <alignment horizontal="center"/>
      <protection locked="0"/>
    </xf>
    <xf numFmtId="180" fontId="0" fillId="5" borderId="26" xfId="0" applyNumberFormat="1" applyFont="1" applyFill="1" applyBorder="1" applyAlignment="1" applyProtection="1">
      <alignment horizontal="center"/>
      <protection locked="0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0" borderId="10" xfId="0" applyFont="1" applyBorder="1" applyAlignment="1"/>
    <xf numFmtId="0" fontId="1" fillId="9" borderId="8" xfId="0" applyFont="1" applyFill="1" applyBorder="1" applyAlignment="1">
      <alignment horizontal="center"/>
    </xf>
    <xf numFmtId="0" fontId="1" fillId="9" borderId="9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/>
    </xf>
    <xf numFmtId="2" fontId="1" fillId="5" borderId="73" xfId="0" applyNumberFormat="1" applyFont="1" applyFill="1" applyBorder="1" applyAlignment="1" applyProtection="1">
      <alignment horizontal="center"/>
      <protection locked="0"/>
    </xf>
    <xf numFmtId="2" fontId="1" fillId="5" borderId="74" xfId="0" applyNumberFormat="1" applyFont="1" applyFill="1" applyBorder="1" applyAlignment="1" applyProtection="1">
      <alignment horizontal="center"/>
      <protection locked="0"/>
    </xf>
    <xf numFmtId="184" fontId="1" fillId="5" borderId="73" xfId="0" applyNumberFormat="1" applyFont="1" applyFill="1" applyBorder="1" applyAlignment="1" applyProtection="1">
      <alignment horizontal="center"/>
      <protection locked="0"/>
    </xf>
    <xf numFmtId="184" fontId="1" fillId="5" borderId="75" xfId="0" applyNumberFormat="1" applyFont="1" applyFill="1" applyBorder="1" applyAlignment="1" applyProtection="1">
      <alignment horizontal="center"/>
      <protection locked="0"/>
    </xf>
    <xf numFmtId="184" fontId="1" fillId="5" borderId="74" xfId="0" applyNumberFormat="1" applyFont="1" applyFill="1" applyBorder="1" applyAlignment="1" applyProtection="1">
      <alignment horizontal="center"/>
      <protection locked="0"/>
    </xf>
    <xf numFmtId="0" fontId="1" fillId="6" borderId="8" xfId="0" applyFont="1" applyFill="1" applyBorder="1" applyAlignment="1">
      <alignment horizontal="center" shrinkToFit="1"/>
    </xf>
    <xf numFmtId="0" fontId="1" fillId="6" borderId="9" xfId="0" applyFont="1" applyFill="1" applyBorder="1" applyAlignment="1">
      <alignment horizontal="center" shrinkToFit="1"/>
    </xf>
    <xf numFmtId="0" fontId="1" fillId="6" borderId="10" xfId="0" applyFont="1" applyFill="1" applyBorder="1" applyAlignment="1">
      <alignment shrinkToFit="1"/>
    </xf>
    <xf numFmtId="184" fontId="1" fillId="5" borderId="8" xfId="0" applyNumberFormat="1" applyFont="1" applyFill="1" applyBorder="1" applyAlignment="1" applyProtection="1">
      <alignment horizontal="center"/>
      <protection locked="0"/>
    </xf>
    <xf numFmtId="184" fontId="1" fillId="5" borderId="10" xfId="0" applyNumberFormat="1" applyFont="1" applyFill="1" applyBorder="1" applyAlignment="1" applyProtection="1">
      <alignment horizontal="center"/>
      <protection locked="0"/>
    </xf>
    <xf numFmtId="0" fontId="1" fillId="6" borderId="10" xfId="0" applyFont="1" applyFill="1" applyBorder="1" applyAlignment="1">
      <alignment horizontal="center" shrinkToFit="1"/>
    </xf>
    <xf numFmtId="0" fontId="3" fillId="6" borderId="8" xfId="0" applyFont="1" applyFill="1" applyBorder="1" applyAlignment="1">
      <alignment horizontal="center"/>
    </xf>
    <xf numFmtId="0" fontId="3" fillId="6" borderId="9" xfId="0" applyFont="1" applyFill="1" applyBorder="1" applyAlignment="1">
      <alignment horizontal="center"/>
    </xf>
    <xf numFmtId="0" fontId="3" fillId="6" borderId="10" xfId="0" applyFont="1" applyFill="1" applyBorder="1" applyAlignment="1">
      <alignment horizontal="center"/>
    </xf>
    <xf numFmtId="2" fontId="1" fillId="5" borderId="65" xfId="0" applyNumberFormat="1" applyFont="1" applyFill="1" applyBorder="1" applyAlignment="1" applyProtection="1">
      <alignment horizontal="center"/>
      <protection locked="0"/>
    </xf>
    <xf numFmtId="2" fontId="1" fillId="5" borderId="54" xfId="0" applyNumberFormat="1" applyFont="1" applyFill="1" applyBorder="1" applyAlignment="1" applyProtection="1">
      <alignment horizontal="center"/>
      <protection locked="0"/>
    </xf>
    <xf numFmtId="184" fontId="1" fillId="5" borderId="65" xfId="0" applyNumberFormat="1" applyFont="1" applyFill="1" applyBorder="1" applyAlignment="1" applyProtection="1">
      <alignment horizontal="center"/>
      <protection locked="0"/>
    </xf>
    <xf numFmtId="184" fontId="1" fillId="5" borderId="87" xfId="0" applyNumberFormat="1" applyFont="1" applyFill="1" applyBorder="1" applyAlignment="1" applyProtection="1">
      <alignment horizontal="center"/>
      <protection locked="0"/>
    </xf>
    <xf numFmtId="184" fontId="1" fillId="5" borderId="54" xfId="0" applyNumberFormat="1" applyFont="1" applyFill="1" applyBorder="1" applyAlignment="1" applyProtection="1">
      <alignment horizontal="center"/>
      <protection locked="0"/>
    </xf>
    <xf numFmtId="185" fontId="1" fillId="5" borderId="8" xfId="0" applyNumberFormat="1" applyFont="1" applyFill="1" applyBorder="1" applyAlignment="1" applyProtection="1">
      <alignment horizontal="center"/>
      <protection locked="0"/>
    </xf>
    <xf numFmtId="185" fontId="1" fillId="5" borderId="10" xfId="0" applyNumberFormat="1" applyFont="1" applyFill="1" applyBorder="1" applyAlignment="1" applyProtection="1">
      <alignment horizontal="center"/>
      <protection locked="0"/>
    </xf>
    <xf numFmtId="189" fontId="1" fillId="5" borderId="8" xfId="0" applyNumberFormat="1" applyFont="1" applyFill="1" applyBorder="1" applyAlignment="1" applyProtection="1">
      <alignment horizontal="center"/>
      <protection locked="0"/>
    </xf>
    <xf numFmtId="189" fontId="1" fillId="5" borderId="9" xfId="0" applyNumberFormat="1" applyFont="1" applyFill="1" applyBorder="1" applyAlignment="1" applyProtection="1">
      <alignment horizontal="center"/>
      <protection locked="0"/>
    </xf>
    <xf numFmtId="189" fontId="1" fillId="5" borderId="10" xfId="0" applyNumberFormat="1" applyFont="1" applyFill="1" applyBorder="1" applyAlignment="1" applyProtection="1">
      <alignment horizontal="center"/>
      <protection locked="0"/>
    </xf>
    <xf numFmtId="184" fontId="0" fillId="5" borderId="26" xfId="0" applyNumberFormat="1" applyFont="1" applyFill="1" applyBorder="1" applyAlignment="1" applyProtection="1">
      <alignment horizontal="center"/>
      <protection locked="0"/>
    </xf>
    <xf numFmtId="184" fontId="1" fillId="5" borderId="46" xfId="0" applyNumberFormat="1" applyFont="1" applyFill="1" applyBorder="1" applyAlignment="1" applyProtection="1">
      <alignment horizontal="center"/>
      <protection locked="0"/>
    </xf>
    <xf numFmtId="184" fontId="1" fillId="5" borderId="45" xfId="0" applyNumberFormat="1" applyFont="1" applyFill="1" applyBorder="1" applyAlignment="1" applyProtection="1">
      <alignment horizontal="center"/>
      <protection locked="0"/>
    </xf>
    <xf numFmtId="0" fontId="1" fillId="6" borderId="31" xfId="0" applyFont="1" applyFill="1" applyBorder="1" applyAlignment="1">
      <alignment horizontal="center"/>
    </xf>
    <xf numFmtId="0" fontId="1" fillId="6" borderId="71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distributed"/>
    </xf>
    <xf numFmtId="0" fontId="1" fillId="6" borderId="9" xfId="0" applyFont="1" applyFill="1" applyBorder="1" applyAlignment="1">
      <alignment horizontal="distributed"/>
    </xf>
    <xf numFmtId="0" fontId="1" fillId="6" borderId="10" xfId="0" applyFont="1" applyFill="1" applyBorder="1" applyAlignment="1">
      <alignment horizontal="distributed"/>
    </xf>
    <xf numFmtId="0" fontId="0" fillId="5" borderId="8" xfId="0" applyFont="1" applyFill="1" applyBorder="1" applyAlignment="1" applyProtection="1">
      <alignment horizontal="left" indent="1"/>
      <protection locked="0"/>
    </xf>
    <xf numFmtId="0" fontId="1" fillId="5" borderId="9" xfId="0" applyFont="1" applyFill="1" applyBorder="1" applyAlignment="1" applyProtection="1">
      <alignment horizontal="left" indent="1"/>
      <protection locked="0"/>
    </xf>
    <xf numFmtId="0" fontId="1" fillId="5" borderId="10" xfId="0" applyFont="1" applyFill="1" applyBorder="1" applyAlignment="1" applyProtection="1">
      <alignment horizontal="left" indent="1"/>
      <protection locked="0"/>
    </xf>
    <xf numFmtId="0" fontId="0" fillId="0" borderId="0" xfId="0"/>
    <xf numFmtId="0" fontId="4" fillId="0" borderId="0" xfId="0" applyFont="1" applyAlignment="1">
      <alignment horizontal="center" vertical="center"/>
    </xf>
    <xf numFmtId="0" fontId="0" fillId="0" borderId="9" xfId="0" applyBorder="1" applyAlignment="1">
      <alignment horizontal="left" indent="1"/>
    </xf>
    <xf numFmtId="49" fontId="0" fillId="5" borderId="9" xfId="0" applyNumberFormat="1" applyFont="1" applyFill="1" applyBorder="1" applyAlignment="1" applyProtection="1">
      <alignment horizontal="center"/>
      <protection locked="0"/>
    </xf>
    <xf numFmtId="49" fontId="0" fillId="0" borderId="10" xfId="0" applyNumberFormat="1" applyBorder="1" applyAlignment="1">
      <alignment horizontal="center"/>
    </xf>
    <xf numFmtId="0" fontId="11" fillId="0" borderId="11" xfId="0" applyFont="1" applyFill="1" applyBorder="1" applyAlignment="1">
      <alignment horizontal="center" vertical="center"/>
    </xf>
    <xf numFmtId="0" fontId="11" fillId="0" borderId="7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31" xfId="0" applyFont="1" applyFill="1" applyBorder="1" applyAlignment="1">
      <alignment horizontal="center"/>
    </xf>
    <xf numFmtId="0" fontId="1" fillId="0" borderId="2" xfId="0" applyFont="1" applyBorder="1" applyAlignment="1"/>
    <xf numFmtId="0" fontId="1" fillId="0" borderId="71" xfId="0" applyFont="1" applyBorder="1" applyAlignment="1"/>
    <xf numFmtId="0" fontId="1" fillId="0" borderId="26" xfId="0" applyFont="1" applyFill="1" applyBorder="1" applyAlignment="1">
      <alignment horizontal="center"/>
    </xf>
    <xf numFmtId="0" fontId="1" fillId="0" borderId="46" xfId="0" applyFont="1" applyBorder="1" applyAlignment="1"/>
    <xf numFmtId="0" fontId="1" fillId="0" borderId="45" xfId="0" applyFont="1" applyBorder="1" applyAlignment="1"/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/>
    <xf numFmtId="0" fontId="1" fillId="0" borderId="16" xfId="0" applyFont="1" applyBorder="1" applyAlignment="1"/>
    <xf numFmtId="0" fontId="1" fillId="6" borderId="9" xfId="0" applyFont="1" applyFill="1" applyBorder="1" applyAlignment="1"/>
    <xf numFmtId="0" fontId="1" fillId="6" borderId="10" xfId="0" applyFont="1" applyFill="1" applyBorder="1" applyAlignment="1"/>
    <xf numFmtId="0" fontId="1" fillId="0" borderId="65" xfId="0" applyFont="1" applyFill="1" applyBorder="1" applyAlignment="1">
      <alignment horizontal="center"/>
    </xf>
    <xf numFmtId="0" fontId="1" fillId="0" borderId="87" xfId="0" applyFont="1" applyBorder="1" applyAlignment="1"/>
    <xf numFmtId="0" fontId="1" fillId="0" borderId="54" xfId="0" applyFont="1" applyBorder="1" applyAlignment="1"/>
    <xf numFmtId="0" fontId="1" fillId="0" borderId="73" xfId="0" applyFont="1" applyFill="1" applyBorder="1" applyAlignment="1">
      <alignment horizontal="center"/>
    </xf>
    <xf numFmtId="0" fontId="1" fillId="0" borderId="75" xfId="0" applyFont="1" applyBorder="1" applyAlignment="1"/>
    <xf numFmtId="0" fontId="1" fillId="0" borderId="74" xfId="0" applyFont="1" applyBorder="1" applyAlignment="1"/>
    <xf numFmtId="0" fontId="7" fillId="3" borderId="8" xfId="0" applyFont="1" applyFill="1" applyBorder="1" applyAlignment="1">
      <alignment horizontal="center" vertical="center"/>
    </xf>
    <xf numFmtId="0" fontId="0" fillId="0" borderId="9" xfId="0" applyBorder="1" applyAlignment="1"/>
    <xf numFmtId="0" fontId="0" fillId="0" borderId="10" xfId="0" applyBorder="1" applyAlignment="1"/>
    <xf numFmtId="0" fontId="13" fillId="3" borderId="67" xfId="0" applyFont="1" applyFill="1" applyBorder="1" applyAlignment="1">
      <alignment vertical="center" wrapText="1"/>
    </xf>
    <xf numFmtId="0" fontId="13" fillId="3" borderId="6" xfId="0" applyFont="1" applyFill="1" applyBorder="1" applyAlignment="1">
      <alignment vertical="center" wrapText="1"/>
    </xf>
    <xf numFmtId="0" fontId="1" fillId="3" borderId="7" xfId="0" applyFont="1" applyFill="1" applyBorder="1" applyAlignment="1">
      <alignment horizontal="center" vertical="center"/>
    </xf>
    <xf numFmtId="0" fontId="16" fillId="0" borderId="68" xfId="0" applyFont="1" applyBorder="1" applyAlignment="1">
      <alignment horizontal="center" vertical="center"/>
    </xf>
    <xf numFmtId="0" fontId="16" fillId="0" borderId="95" xfId="0" applyFont="1" applyBorder="1" applyAlignment="1">
      <alignment horizontal="center" vertical="center"/>
    </xf>
    <xf numFmtId="0" fontId="16" fillId="0" borderId="96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/>
    </xf>
    <xf numFmtId="0" fontId="13" fillId="0" borderId="97" xfId="0" applyFont="1" applyBorder="1" applyAlignment="1">
      <alignment horizontal="center"/>
    </xf>
    <xf numFmtId="0" fontId="13" fillId="0" borderId="66" xfId="0" applyFont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53" xfId="0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69" xfId="0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8" fillId="3" borderId="67" xfId="0" applyFont="1" applyFill="1" applyBorder="1" applyAlignment="1">
      <alignment vertical="center" wrapText="1"/>
    </xf>
    <xf numFmtId="0" fontId="8" fillId="3" borderId="6" xfId="0" applyFont="1" applyFill="1" applyBorder="1" applyAlignment="1">
      <alignment vertical="center" wrapText="1"/>
    </xf>
    <xf numFmtId="0" fontId="13" fillId="0" borderId="67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0" fillId="0" borderId="97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72" xfId="0" applyBorder="1" applyAlignment="1">
      <alignment horizontal="right" vertical="center"/>
    </xf>
  </cellXfs>
  <cellStyles count="2">
    <cellStyle name="桁区切り 2" xfId="1"/>
    <cellStyle name="標準" xfId="0" builtinId="0"/>
  </cellStyles>
  <dxfs count="1">
    <dxf>
      <font>
        <condense val="0"/>
        <extend val="0"/>
        <color indexed="38"/>
      </font>
    </dxf>
  </dxfs>
  <tableStyles count="0" defaultTableStyle="TableStyleMedium2" defaultPivotStyle="PivotStyleLight16"/>
  <colors>
    <mruColors>
      <color rgb="FF0000FF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2057400</xdr:colOff>
      <xdr:row>4</xdr:row>
      <xdr:rowOff>114300</xdr:rowOff>
    </xdr:from>
    <xdr:to>
      <xdr:col>19</xdr:col>
      <xdr:colOff>247650</xdr:colOff>
      <xdr:row>5</xdr:row>
      <xdr:rowOff>47625</xdr:rowOff>
    </xdr:to>
    <xdr:sp macro="" textlink="">
      <xdr:nvSpPr>
        <xdr:cNvPr id="2" name="AutoShape 3"/>
        <xdr:cNvSpPr>
          <a:spLocks noChangeArrowheads="1"/>
        </xdr:cNvSpPr>
      </xdr:nvSpPr>
      <xdr:spPr bwMode="auto">
        <a:xfrm flipV="1">
          <a:off x="9686925" y="971550"/>
          <a:ext cx="523875" cy="142875"/>
        </a:xfrm>
        <a:prstGeom prst="triangle">
          <a:avLst>
            <a:gd name="adj" fmla="val 52940"/>
          </a:avLst>
        </a:prstGeom>
        <a:solidFill>
          <a:srgbClr xmlns:mc="http://schemas.openxmlformats.org/markup-compatibility/2006" xmlns:a14="http://schemas.microsoft.com/office/drawing/2010/main" val="3366FF" mc:Ignorable="a14" a14:legacySpreadsheetColorIndex="48"/>
        </a:solidFill>
        <a:ln w="9525">
          <a:solidFill>
            <a:srgbClr xmlns:mc="http://schemas.openxmlformats.org/markup-compatibility/2006" xmlns:a14="http://schemas.microsoft.com/office/drawing/2010/main" val="3366FF" mc:Ignorable="a14" a14:legacySpreadsheetColorIndex="48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885825</xdr:colOff>
      <xdr:row>4</xdr:row>
      <xdr:rowOff>104775</xdr:rowOff>
    </xdr:from>
    <xdr:to>
      <xdr:col>15</xdr:col>
      <xdr:colOff>1104900</xdr:colOff>
      <xdr:row>5</xdr:row>
      <xdr:rowOff>66675</xdr:rowOff>
    </xdr:to>
    <xdr:sp macro="" textlink="">
      <xdr:nvSpPr>
        <xdr:cNvPr id="2" name="AutoShape 45"/>
        <xdr:cNvSpPr>
          <a:spLocks noChangeArrowheads="1"/>
        </xdr:cNvSpPr>
      </xdr:nvSpPr>
      <xdr:spPr bwMode="auto">
        <a:xfrm flipV="1">
          <a:off x="8610600" y="933450"/>
          <a:ext cx="219075" cy="142875"/>
        </a:xfrm>
        <a:prstGeom prst="triangle">
          <a:avLst>
            <a:gd name="adj" fmla="val 52940"/>
          </a:avLst>
        </a:prstGeom>
        <a:solidFill>
          <a:srgbClr xmlns:mc="http://schemas.openxmlformats.org/markup-compatibility/2006" xmlns:a14="http://schemas.microsoft.com/office/drawing/2010/main" val="3366FF" mc:Ignorable="a14" a14:legacySpreadsheetColorIndex="48"/>
        </a:solidFill>
        <a:ln w="9525">
          <a:solidFill>
            <a:srgbClr xmlns:mc="http://schemas.openxmlformats.org/markup-compatibility/2006" xmlns:a14="http://schemas.microsoft.com/office/drawing/2010/main" val="3366FF" mc:Ignorable="a14" a14:legacySpreadsheetColorIndex="48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180975</xdr:colOff>
      <xdr:row>59</xdr:row>
      <xdr:rowOff>0</xdr:rowOff>
    </xdr:from>
    <xdr:to>
      <xdr:col>15</xdr:col>
      <xdr:colOff>95250</xdr:colOff>
      <xdr:row>59</xdr:row>
      <xdr:rowOff>0</xdr:rowOff>
    </xdr:to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5400675" y="11068050"/>
          <a:ext cx="12001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２階貸店舗２室分</a:t>
          </a:r>
          <a:endParaRPr lang="ja-JP" altLang="en-US"/>
        </a:p>
      </xdr:txBody>
    </xdr:sp>
    <xdr:clientData/>
  </xdr:twoCellAnchor>
  <xdr:twoCellAnchor>
    <xdr:from>
      <xdr:col>12</xdr:col>
      <xdr:colOff>180975</xdr:colOff>
      <xdr:row>59</xdr:row>
      <xdr:rowOff>0</xdr:rowOff>
    </xdr:from>
    <xdr:to>
      <xdr:col>15</xdr:col>
      <xdr:colOff>95250</xdr:colOff>
      <xdr:row>59</xdr:row>
      <xdr:rowOff>0</xdr:rowOff>
    </xdr:to>
    <xdr:sp macro="" textlink="">
      <xdr:nvSpPr>
        <xdr:cNvPr id="3077" name="Text Box 5"/>
        <xdr:cNvSpPr txBox="1">
          <a:spLocks noChangeArrowheads="1"/>
        </xdr:cNvSpPr>
      </xdr:nvSpPr>
      <xdr:spPr bwMode="auto">
        <a:xfrm>
          <a:off x="5400675" y="11068050"/>
          <a:ext cx="12001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２階貸店舗２室分</a:t>
          </a:r>
          <a:endParaRPr lang="ja-JP" altLang="en-US"/>
        </a:p>
      </xdr:txBody>
    </xdr:sp>
    <xdr:clientData/>
  </xdr:twoCellAnchor>
  <xdr:twoCellAnchor>
    <xdr:from>
      <xdr:col>22</xdr:col>
      <xdr:colOff>1771650</xdr:colOff>
      <xdr:row>2</xdr:row>
      <xdr:rowOff>95250</xdr:rowOff>
    </xdr:from>
    <xdr:to>
      <xdr:col>22</xdr:col>
      <xdr:colOff>2095500</xdr:colOff>
      <xdr:row>3</xdr:row>
      <xdr:rowOff>38100</xdr:rowOff>
    </xdr:to>
    <xdr:sp macro="" textlink="">
      <xdr:nvSpPr>
        <xdr:cNvPr id="3526" name="AutoShape 27"/>
        <xdr:cNvSpPr>
          <a:spLocks noChangeArrowheads="1"/>
        </xdr:cNvSpPr>
      </xdr:nvSpPr>
      <xdr:spPr bwMode="auto">
        <a:xfrm flipV="1">
          <a:off x="10934700" y="466725"/>
          <a:ext cx="323850" cy="142875"/>
        </a:xfrm>
        <a:prstGeom prst="triangle">
          <a:avLst>
            <a:gd name="adj" fmla="val 52940"/>
          </a:avLst>
        </a:prstGeom>
        <a:solidFill>
          <a:srgbClr xmlns:mc="http://schemas.openxmlformats.org/markup-compatibility/2006" xmlns:a14="http://schemas.microsoft.com/office/drawing/2010/main" val="3366FF" mc:Ignorable="a14" a14:legacySpreadsheetColorIndex="48"/>
        </a:solidFill>
        <a:ln w="9525">
          <a:solidFill>
            <a:srgbClr xmlns:mc="http://schemas.openxmlformats.org/markup-compatibility/2006" xmlns:a14="http://schemas.microsoft.com/office/drawing/2010/main" val="3366FF" mc:Ignorable="a14" a14:legacySpreadsheetColorIndex="48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Q100"/>
  <sheetViews>
    <sheetView showZeros="0" tabSelected="1" zoomScaleNormal="100" workbookViewId="0">
      <selection activeCell="H8" sqref="H8"/>
    </sheetView>
  </sheetViews>
  <sheetFormatPr defaultColWidth="9" defaultRowHeight="13.5" x14ac:dyDescent="0.15"/>
  <cols>
    <col min="1" max="1" width="2.75" style="77" customWidth="1"/>
    <col min="2" max="2" width="2.875" style="77" customWidth="1"/>
    <col min="3" max="3" width="5.125" style="77" customWidth="1"/>
    <col min="4" max="4" width="4.75" style="77" customWidth="1"/>
    <col min="5" max="5" width="4.375" style="77" customWidth="1"/>
    <col min="6" max="6" width="5.75" style="77" customWidth="1"/>
    <col min="7" max="7" width="6.125" style="77" customWidth="1"/>
    <col min="8" max="8" width="10" style="77" customWidth="1"/>
    <col min="9" max="11" width="6.5" style="77" customWidth="1"/>
    <col min="12" max="12" width="5.125" style="77" customWidth="1"/>
    <col min="13" max="13" width="6.875" style="77" customWidth="1"/>
    <col min="14" max="14" width="5.125" style="77" customWidth="1"/>
    <col min="15" max="15" width="8.625" style="77" customWidth="1"/>
    <col min="16" max="16" width="7.625" style="77" customWidth="1"/>
    <col min="17" max="17" width="2.625" style="77" customWidth="1"/>
    <col min="18" max="18" width="2.875" style="77" customWidth="1"/>
    <col min="19" max="19" width="32.5" style="8" customWidth="1"/>
    <col min="20" max="20" width="34.25" style="8" customWidth="1"/>
    <col min="21" max="21" width="2.75" style="77" customWidth="1"/>
    <col min="22" max="23" width="5.625" style="77" customWidth="1"/>
    <col min="24" max="30" width="8.125" style="77" customWidth="1"/>
    <col min="31" max="33" width="5.625" style="77" customWidth="1"/>
    <col min="34" max="40" width="8.125" style="77" customWidth="1"/>
    <col min="41" max="42" width="5.625" style="77" customWidth="1"/>
    <col min="43" max="50" width="8.125" style="77" customWidth="1"/>
    <col min="51" max="51" width="5.625" style="77" customWidth="1"/>
    <col min="52" max="60" width="8.125" style="77" customWidth="1"/>
    <col min="61" max="61" width="5.625" style="77" customWidth="1"/>
    <col min="62" max="64" width="10.125" style="77" customWidth="1"/>
    <col min="65" max="65" width="12.125" style="77" customWidth="1"/>
    <col min="66" max="16384" width="9" style="77"/>
  </cols>
  <sheetData>
    <row r="1" spans="1:68" x14ac:dyDescent="0.15">
      <c r="A1" s="76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S1" s="78">
        <v>37704</v>
      </c>
      <c r="T1" s="78"/>
      <c r="U1" s="81"/>
      <c r="AE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</row>
    <row r="2" spans="1:68" ht="23.25" customHeight="1" x14ac:dyDescent="0.15">
      <c r="A2" s="76"/>
      <c r="B2" s="79"/>
      <c r="C2" s="406" t="s">
        <v>470</v>
      </c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80"/>
      <c r="R2" s="81"/>
      <c r="S2" s="9"/>
      <c r="T2" s="9"/>
      <c r="U2" s="81"/>
      <c r="AE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</row>
    <row r="3" spans="1:68" ht="14.25" thickBot="1" x14ac:dyDescent="0.2">
      <c r="A3" s="76"/>
      <c r="B3" s="5"/>
      <c r="H3" s="90"/>
      <c r="N3" s="405"/>
      <c r="O3" s="405"/>
      <c r="P3" s="405"/>
      <c r="Q3" s="76"/>
      <c r="R3" s="81"/>
      <c r="S3" s="9"/>
      <c r="T3" s="9"/>
      <c r="U3" s="81"/>
      <c r="AE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</row>
    <row r="4" spans="1:68" ht="16.5" customHeight="1" thickBot="1" x14ac:dyDescent="0.2">
      <c r="A4" s="76"/>
      <c r="C4" s="399" t="s">
        <v>17</v>
      </c>
      <c r="D4" s="400"/>
      <c r="E4" s="400"/>
      <c r="F4" s="401"/>
      <c r="G4" s="402"/>
      <c r="H4" s="407"/>
      <c r="I4" s="407"/>
      <c r="J4" s="407"/>
      <c r="K4" s="407"/>
      <c r="L4" s="407"/>
      <c r="M4" s="407"/>
      <c r="N4" s="408"/>
      <c r="O4" s="409"/>
      <c r="P4" s="81"/>
      <c r="Q4" s="89"/>
      <c r="R4" s="81"/>
      <c r="S4" s="410" t="s">
        <v>63</v>
      </c>
      <c r="T4" s="411"/>
      <c r="U4" s="81"/>
      <c r="AE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77" t="s">
        <v>24</v>
      </c>
      <c r="BK4" s="156" t="s">
        <v>139</v>
      </c>
      <c r="BN4" s="77" t="s">
        <v>24</v>
      </c>
      <c r="BO4" s="156" t="s">
        <v>140</v>
      </c>
    </row>
    <row r="5" spans="1:68" ht="16.5" customHeight="1" x14ac:dyDescent="0.15">
      <c r="A5" s="76"/>
      <c r="C5" s="399" t="s">
        <v>20</v>
      </c>
      <c r="D5" s="400"/>
      <c r="E5" s="400"/>
      <c r="F5" s="401"/>
      <c r="G5" s="402"/>
      <c r="H5" s="403"/>
      <c r="I5" s="403"/>
      <c r="J5" s="403"/>
      <c r="K5" s="403"/>
      <c r="L5" s="403"/>
      <c r="M5" s="403"/>
      <c r="N5" s="403"/>
      <c r="O5" s="404"/>
      <c r="P5" s="81"/>
      <c r="Q5" s="89"/>
      <c r="R5" s="81"/>
      <c r="S5" s="9"/>
      <c r="T5" s="9"/>
      <c r="U5" s="81"/>
      <c r="V5"/>
      <c r="W5" s="405"/>
      <c r="X5" s="405"/>
      <c r="Y5" s="405"/>
      <c r="Z5"/>
      <c r="AA5"/>
      <c r="AB5"/>
      <c r="AC5"/>
      <c r="AD5"/>
      <c r="AE5"/>
      <c r="AF5"/>
      <c r="AG5" s="405"/>
      <c r="AH5" s="405"/>
      <c r="AI5" s="405"/>
      <c r="AJ5"/>
      <c r="AK5"/>
      <c r="AL5"/>
      <c r="AM5"/>
      <c r="AN5"/>
      <c r="AO5"/>
      <c r="AP5"/>
      <c r="AQ5" s="405"/>
      <c r="AR5" s="405"/>
      <c r="AS5" s="405"/>
      <c r="AT5"/>
      <c r="AU5"/>
      <c r="AV5"/>
      <c r="AW5"/>
      <c r="AX5"/>
      <c r="AY5"/>
      <c r="AZ5"/>
      <c r="BA5" s="405"/>
      <c r="BB5" s="405"/>
      <c r="BC5" s="405"/>
      <c r="BD5"/>
      <c r="BE5"/>
      <c r="BF5"/>
      <c r="BG5"/>
      <c r="BH5"/>
      <c r="BI5" s="81"/>
      <c r="BJ5" s="155" t="s">
        <v>2</v>
      </c>
      <c r="BK5" s="154" t="s">
        <v>3</v>
      </c>
      <c r="BL5" s="154" t="s">
        <v>4</v>
      </c>
      <c r="BN5" s="155" t="s">
        <v>2</v>
      </c>
      <c r="BO5" s="154" t="s">
        <v>141</v>
      </c>
      <c r="BP5" s="154" t="s">
        <v>4</v>
      </c>
    </row>
    <row r="6" spans="1:68" ht="16.5" customHeight="1" thickBot="1" x14ac:dyDescent="0.2">
      <c r="A6" s="76"/>
      <c r="C6" s="399" t="s">
        <v>21</v>
      </c>
      <c r="D6" s="400"/>
      <c r="E6" s="400"/>
      <c r="F6" s="401"/>
      <c r="G6" s="402"/>
      <c r="H6" s="403"/>
      <c r="I6" s="403"/>
      <c r="J6" s="404"/>
      <c r="K6" s="397" t="s">
        <v>18</v>
      </c>
      <c r="L6" s="398"/>
      <c r="M6" s="397">
        <v>1</v>
      </c>
      <c r="N6" s="398"/>
      <c r="O6" s="86"/>
      <c r="P6" s="81"/>
      <c r="Q6" s="89"/>
      <c r="R6" s="81"/>
      <c r="S6" s="9"/>
      <c r="T6" s="9"/>
      <c r="U6" s="81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 s="81"/>
      <c r="BJ6" s="153" t="s">
        <v>307</v>
      </c>
      <c r="BK6" s="152" t="s">
        <v>308</v>
      </c>
      <c r="BL6" s="152" t="s">
        <v>309</v>
      </c>
      <c r="BN6" s="153" t="s">
        <v>307</v>
      </c>
      <c r="BO6" s="152" t="s">
        <v>350</v>
      </c>
      <c r="BP6" s="152" t="s">
        <v>309</v>
      </c>
    </row>
    <row r="7" spans="1:68" ht="16.5" customHeight="1" thickTop="1" x14ac:dyDescent="0.15">
      <c r="A7" s="76"/>
      <c r="C7" s="399" t="s">
        <v>32</v>
      </c>
      <c r="D7" s="400"/>
      <c r="E7" s="400"/>
      <c r="F7" s="401"/>
      <c r="G7" s="402"/>
      <c r="H7" s="403"/>
      <c r="I7" s="403"/>
      <c r="J7" s="404"/>
      <c r="K7" s="397" t="s">
        <v>18</v>
      </c>
      <c r="L7" s="398"/>
      <c r="M7" s="397">
        <v>2</v>
      </c>
      <c r="N7" s="398"/>
      <c r="O7" s="86"/>
      <c r="P7" s="81"/>
      <c r="Q7" s="89"/>
      <c r="R7" s="81"/>
      <c r="S7" s="9" t="s">
        <v>183</v>
      </c>
      <c r="T7" s="13" t="s">
        <v>87</v>
      </c>
      <c r="U7" s="81"/>
      <c r="V7"/>
      <c r="W7" s="28"/>
      <c r="X7" s="28"/>
      <c r="Y7" s="28"/>
      <c r="Z7" s="28"/>
      <c r="AA7" s="28"/>
      <c r="AB7" s="28"/>
      <c r="AC7" s="28"/>
      <c r="AD7" s="28"/>
      <c r="AE7"/>
      <c r="AF7"/>
      <c r="AG7" s="28"/>
      <c r="AH7" s="28"/>
      <c r="AI7" s="28"/>
      <c r="AJ7" s="28"/>
      <c r="AK7" s="28"/>
      <c r="AL7" s="28"/>
      <c r="AM7" s="28"/>
      <c r="AN7" s="28"/>
      <c r="AO7"/>
      <c r="AP7"/>
      <c r="AQ7" s="28"/>
      <c r="AR7" s="28"/>
      <c r="AS7" s="28"/>
      <c r="AT7" s="28"/>
      <c r="AU7" s="28"/>
      <c r="AV7" s="28"/>
      <c r="AW7" s="28"/>
      <c r="AX7" s="28"/>
      <c r="AY7"/>
      <c r="AZ7"/>
      <c r="BA7" s="28"/>
      <c r="BB7" s="28"/>
      <c r="BC7" s="28"/>
      <c r="BD7" s="28"/>
      <c r="BE7" s="28"/>
      <c r="BF7" s="28"/>
      <c r="BG7" s="28"/>
      <c r="BH7" s="28"/>
      <c r="BI7" s="81"/>
      <c r="BJ7" s="147">
        <v>13</v>
      </c>
      <c r="BK7" s="145">
        <v>1.4279999999999999E-2</v>
      </c>
      <c r="BL7" s="143">
        <f>ROUND((PI()*POWER(BK7/2,2)),5)</f>
        <v>1.6000000000000001E-4</v>
      </c>
      <c r="BN7" s="147">
        <v>13</v>
      </c>
      <c r="BO7" s="144">
        <v>1.2999999999999999E-2</v>
      </c>
      <c r="BP7" s="143">
        <f>ROUND((PI()*POWER(BO7/2,2)),5)</f>
        <v>1.2999999999999999E-4</v>
      </c>
    </row>
    <row r="8" spans="1:68" ht="16.5" customHeight="1" x14ac:dyDescent="0.15">
      <c r="A8" s="76"/>
      <c r="C8" s="81"/>
      <c r="D8" s="81"/>
      <c r="E8" s="81"/>
      <c r="F8" s="81"/>
      <c r="G8" s="81"/>
      <c r="H8" s="81"/>
      <c r="I8" s="87"/>
      <c r="J8" s="88"/>
      <c r="K8" s="367" t="s">
        <v>18</v>
      </c>
      <c r="L8" s="369"/>
      <c r="M8" s="397">
        <v>3</v>
      </c>
      <c r="N8" s="398"/>
      <c r="O8" s="86"/>
      <c r="P8" s="81"/>
      <c r="Q8" s="89"/>
      <c r="R8" s="81"/>
      <c r="S8" s="10" t="s">
        <v>64</v>
      </c>
      <c r="T8" s="12" t="s">
        <v>67</v>
      </c>
      <c r="U8" s="81"/>
      <c r="V8"/>
      <c r="W8" s="28"/>
      <c r="X8" s="28"/>
      <c r="Y8" s="28"/>
      <c r="Z8" s="28"/>
      <c r="AA8" s="28"/>
      <c r="AB8" s="28"/>
      <c r="AC8" s="28"/>
      <c r="AD8" s="28"/>
      <c r="AE8"/>
      <c r="AF8"/>
      <c r="AG8" s="28"/>
      <c r="AH8" s="28"/>
      <c r="AI8" s="28"/>
      <c r="AJ8" s="28"/>
      <c r="AK8" s="28"/>
      <c r="AL8" s="28"/>
      <c r="AM8" s="28"/>
      <c r="AN8" s="28"/>
      <c r="AO8"/>
      <c r="AP8"/>
      <c r="AQ8" s="28"/>
      <c r="AR8" s="28"/>
      <c r="AS8" s="28"/>
      <c r="AT8" s="28"/>
      <c r="AU8" s="28"/>
      <c r="AV8" s="28"/>
      <c r="AW8" s="28"/>
      <c r="AX8" s="28"/>
      <c r="AY8"/>
      <c r="AZ8"/>
      <c r="BA8" s="28"/>
      <c r="BB8" s="28"/>
      <c r="BC8" s="28"/>
      <c r="BD8" s="28"/>
      <c r="BE8" s="28"/>
      <c r="BF8" s="28"/>
      <c r="BG8" s="28"/>
      <c r="BH8" s="28"/>
      <c r="BI8" s="81"/>
      <c r="BJ8" s="137">
        <v>20</v>
      </c>
      <c r="BK8" s="145">
        <v>2.0219999999999998E-2</v>
      </c>
      <c r="BL8" s="143">
        <f t="shared" ref="BL8:BL18" si="0">ROUND((PI()*POWER(BK8/2,2)),5)</f>
        <v>3.2000000000000003E-4</v>
      </c>
      <c r="BN8" s="137">
        <v>20</v>
      </c>
      <c r="BO8" s="144">
        <v>0.02</v>
      </c>
      <c r="BP8" s="143">
        <f t="shared" ref="BP8:BP18" si="1">ROUND((PI()*POWER(BO8/2,2)),5)</f>
        <v>3.1E-4</v>
      </c>
    </row>
    <row r="9" spans="1:68" ht="14.25" customHeight="1" x14ac:dyDescent="0.15">
      <c r="A9" s="76"/>
      <c r="Q9" s="76"/>
      <c r="R9" s="81"/>
      <c r="S9" s="10" t="s">
        <v>65</v>
      </c>
      <c r="T9" s="12" t="s">
        <v>68</v>
      </c>
      <c r="U9" s="81"/>
      <c r="V9"/>
      <c r="W9" s="28"/>
      <c r="X9" s="28"/>
      <c r="Y9" s="28"/>
      <c r="Z9" s="28"/>
      <c r="AA9" s="28"/>
      <c r="AB9" s="28"/>
      <c r="AC9" s="28"/>
      <c r="AD9" s="28"/>
      <c r="AE9"/>
      <c r="AF9"/>
      <c r="AG9" s="28"/>
      <c r="AH9" s="28"/>
      <c r="AI9" s="28"/>
      <c r="AJ9" s="28"/>
      <c r="AK9" s="28"/>
      <c r="AL9" s="28"/>
      <c r="AM9" s="28"/>
      <c r="AN9" s="28"/>
      <c r="AO9"/>
      <c r="AP9"/>
      <c r="AQ9" s="28"/>
      <c r="AR9" s="28"/>
      <c r="AS9" s="28"/>
      <c r="AT9" s="28"/>
      <c r="AU9" s="28"/>
      <c r="AV9" s="28"/>
      <c r="AW9" s="28"/>
      <c r="AX9" s="28"/>
      <c r="AY9"/>
      <c r="AZ9"/>
      <c r="BA9" s="28"/>
      <c r="BB9" s="28"/>
      <c r="BC9" s="28"/>
      <c r="BD9" s="28"/>
      <c r="BE9" s="28"/>
      <c r="BF9" s="28"/>
      <c r="BG9" s="28"/>
      <c r="BH9" s="28"/>
      <c r="BI9" s="81"/>
      <c r="BJ9" s="137">
        <v>25</v>
      </c>
      <c r="BK9" s="149">
        <v>2.6579999999999999E-2</v>
      </c>
      <c r="BL9" s="108">
        <f t="shared" si="0"/>
        <v>5.5000000000000003E-4</v>
      </c>
      <c r="BN9" s="137">
        <v>25</v>
      </c>
      <c r="BO9" s="136">
        <v>2.5000000000000001E-2</v>
      </c>
      <c r="BP9" s="108">
        <f t="shared" si="1"/>
        <v>4.8999999999999998E-4</v>
      </c>
    </row>
    <row r="10" spans="1:68" ht="14.25" customHeight="1" x14ac:dyDescent="0.15">
      <c r="A10" s="76"/>
      <c r="B10" s="5">
        <v>1</v>
      </c>
      <c r="C10" s="5" t="s">
        <v>182</v>
      </c>
      <c r="D10" s="5"/>
      <c r="E10" s="5"/>
      <c r="F10" s="5"/>
      <c r="J10" s="77" t="s">
        <v>8</v>
      </c>
      <c r="Q10" s="76"/>
      <c r="R10" s="81"/>
      <c r="S10" s="10" t="s">
        <v>66</v>
      </c>
      <c r="T10" s="12" t="s">
        <v>69</v>
      </c>
      <c r="U10" s="81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 s="81"/>
      <c r="BJ10" s="137">
        <v>30</v>
      </c>
      <c r="BK10" s="149">
        <v>3.1600000000000003E-2</v>
      </c>
      <c r="BL10" s="108">
        <f t="shared" si="0"/>
        <v>7.7999999999999999E-4</v>
      </c>
      <c r="BN10" s="137">
        <v>30</v>
      </c>
      <c r="BO10" s="136">
        <v>0.03</v>
      </c>
      <c r="BP10" s="108">
        <f t="shared" si="1"/>
        <v>7.1000000000000002E-4</v>
      </c>
    </row>
    <row r="11" spans="1:68" ht="14.25" customHeight="1" x14ac:dyDescent="0.15">
      <c r="A11" s="76"/>
      <c r="C11" s="77" t="s">
        <v>62</v>
      </c>
      <c r="J11" s="151"/>
      <c r="K11" s="367" t="s">
        <v>10</v>
      </c>
      <c r="L11" s="369"/>
      <c r="M11" s="367" t="s">
        <v>11</v>
      </c>
      <c r="N11" s="368"/>
      <c r="O11" s="369"/>
      <c r="Q11" s="76"/>
      <c r="R11" s="81"/>
      <c r="S11" s="10" t="s">
        <v>84</v>
      </c>
      <c r="T11" s="12" t="s">
        <v>73</v>
      </c>
      <c r="U11" s="8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 s="81"/>
      <c r="BJ11" s="137">
        <v>40</v>
      </c>
      <c r="BK11" s="149">
        <v>4.0300000000000002E-2</v>
      </c>
      <c r="BL11" s="108">
        <f t="shared" si="0"/>
        <v>1.2800000000000001E-3</v>
      </c>
      <c r="BN11" s="137">
        <v>40</v>
      </c>
      <c r="BO11" s="136">
        <v>0.04</v>
      </c>
      <c r="BP11" s="108">
        <f t="shared" si="1"/>
        <v>1.2600000000000001E-3</v>
      </c>
    </row>
    <row r="12" spans="1:68" ht="14.25" customHeight="1" x14ac:dyDescent="0.15">
      <c r="A12" s="76"/>
      <c r="C12" s="375" t="s">
        <v>19</v>
      </c>
      <c r="D12" s="380"/>
      <c r="E12" s="381" t="s">
        <v>12</v>
      </c>
      <c r="F12" s="382"/>
      <c r="G12" s="383"/>
      <c r="H12" s="246"/>
      <c r="I12" s="81"/>
      <c r="J12" s="150">
        <v>1</v>
      </c>
      <c r="K12" s="384"/>
      <c r="L12" s="385"/>
      <c r="M12" s="386"/>
      <c r="N12" s="387"/>
      <c r="O12" s="388"/>
      <c r="P12" s="81"/>
      <c r="Q12" s="76"/>
      <c r="R12" s="81"/>
      <c r="S12" s="10" t="s">
        <v>85</v>
      </c>
      <c r="T12" s="13"/>
      <c r="U12" s="81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 s="81"/>
      <c r="BJ12" s="137">
        <v>50</v>
      </c>
      <c r="BK12" s="149">
        <v>4.6199999999999998E-2</v>
      </c>
      <c r="BL12" s="108">
        <f t="shared" si="0"/>
        <v>1.6800000000000001E-3</v>
      </c>
      <c r="BN12" s="137">
        <v>50</v>
      </c>
      <c r="BO12" s="136">
        <v>0.05</v>
      </c>
      <c r="BP12" s="108">
        <f t="shared" si="1"/>
        <v>1.9599999999999999E-3</v>
      </c>
    </row>
    <row r="13" spans="1:68" ht="14.25" customHeight="1" x14ac:dyDescent="0.15">
      <c r="A13" s="76"/>
      <c r="C13" s="389"/>
      <c r="D13" s="390"/>
      <c r="E13" s="391"/>
      <c r="F13" s="392"/>
      <c r="G13" s="393"/>
      <c r="H13" s="246"/>
      <c r="I13" s="81"/>
      <c r="J13" s="148">
        <v>2</v>
      </c>
      <c r="K13" s="346"/>
      <c r="L13" s="347"/>
      <c r="M13" s="394"/>
      <c r="N13" s="395"/>
      <c r="O13" s="396"/>
      <c r="P13" s="81"/>
      <c r="Q13" s="76"/>
      <c r="R13" s="81"/>
      <c r="S13" s="10" t="s">
        <v>88</v>
      </c>
      <c r="T13" s="13" t="s">
        <v>114</v>
      </c>
      <c r="U13" s="81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 s="81"/>
      <c r="BJ13" s="147">
        <v>75</v>
      </c>
      <c r="BK13" s="145">
        <f>0.093-(0.0075*2+0.004*2)</f>
        <v>7.0000000000000007E-2</v>
      </c>
      <c r="BL13" s="143">
        <f t="shared" si="0"/>
        <v>3.8500000000000001E-3</v>
      </c>
      <c r="BN13" s="147">
        <v>75</v>
      </c>
      <c r="BO13" s="144">
        <v>7.4999999999999997E-2</v>
      </c>
      <c r="BP13" s="143">
        <f t="shared" si="1"/>
        <v>4.4200000000000003E-3</v>
      </c>
    </row>
    <row r="14" spans="1:68" ht="14.25" customHeight="1" x14ac:dyDescent="0.15">
      <c r="A14" s="76"/>
      <c r="J14" s="146">
        <v>3</v>
      </c>
      <c r="K14" s="370"/>
      <c r="L14" s="371"/>
      <c r="M14" s="372"/>
      <c r="N14" s="373"/>
      <c r="O14" s="374"/>
      <c r="Q14" s="89"/>
      <c r="R14" s="81"/>
      <c r="S14" s="10" t="s">
        <v>89</v>
      </c>
      <c r="T14" s="12" t="s">
        <v>75</v>
      </c>
      <c r="U14" s="81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 s="81"/>
      <c r="BJ14" s="137">
        <v>100</v>
      </c>
      <c r="BK14" s="145">
        <f>0.118-(0.0075*2+0.004*2)</f>
        <v>9.5000000000000001E-2</v>
      </c>
      <c r="BL14" s="143">
        <f t="shared" si="0"/>
        <v>7.0899999999999999E-3</v>
      </c>
      <c r="BN14" s="137">
        <v>100</v>
      </c>
      <c r="BO14" s="144">
        <v>0.1</v>
      </c>
      <c r="BP14" s="143">
        <f t="shared" si="1"/>
        <v>7.8499999999999993E-3</v>
      </c>
    </row>
    <row r="15" spans="1:68" ht="14.25" customHeight="1" x14ac:dyDescent="0.15">
      <c r="A15" s="76"/>
      <c r="C15" s="375" t="s">
        <v>80</v>
      </c>
      <c r="D15" s="376"/>
      <c r="E15" s="376"/>
      <c r="F15" s="376"/>
      <c r="G15" s="377"/>
      <c r="H15" s="142"/>
      <c r="I15" s="81"/>
      <c r="J15" s="81"/>
      <c r="K15" s="81"/>
      <c r="L15" s="81"/>
      <c r="M15" s="81"/>
      <c r="N15" s="81"/>
      <c r="O15" s="81"/>
      <c r="P15" s="81"/>
      <c r="Q15" s="89"/>
      <c r="R15" s="81"/>
      <c r="S15" s="11"/>
      <c r="T15" s="12" t="s">
        <v>76</v>
      </c>
      <c r="U15" s="81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 s="81"/>
      <c r="BJ15" s="137">
        <v>150</v>
      </c>
      <c r="BK15" s="138">
        <f>0.169-(0.0075*2+0.004*2)</f>
        <v>0.14600000000000002</v>
      </c>
      <c r="BL15" s="108">
        <f t="shared" si="0"/>
        <v>1.6740000000000001E-2</v>
      </c>
      <c r="BN15" s="137">
        <v>150</v>
      </c>
      <c r="BO15" s="136">
        <v>0.15</v>
      </c>
      <c r="BP15" s="108">
        <f t="shared" si="1"/>
        <v>1.7670000000000002E-2</v>
      </c>
    </row>
    <row r="16" spans="1:68" ht="14.25" customHeight="1" x14ac:dyDescent="0.15">
      <c r="A16" s="76"/>
      <c r="C16" s="375" t="s">
        <v>22</v>
      </c>
      <c r="D16" s="376"/>
      <c r="E16" s="376"/>
      <c r="F16" s="376"/>
      <c r="G16" s="377"/>
      <c r="H16" s="141"/>
      <c r="I16" s="81"/>
      <c r="J16" s="81"/>
      <c r="K16" s="81" t="s">
        <v>144</v>
      </c>
      <c r="L16" s="81"/>
      <c r="M16" s="81"/>
      <c r="N16" s="81"/>
      <c r="O16" s="81"/>
      <c r="P16" s="81"/>
      <c r="Q16" s="89"/>
      <c r="R16" s="81"/>
      <c r="S16" s="9" t="s">
        <v>86</v>
      </c>
      <c r="T16" s="12" t="s">
        <v>77</v>
      </c>
      <c r="U16" s="81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 s="81"/>
      <c r="BJ16" s="137">
        <v>200</v>
      </c>
      <c r="BK16" s="138">
        <f>0.22-(0.0075*2+0.004*2)</f>
        <v>0.19700000000000001</v>
      </c>
      <c r="BL16" s="108">
        <f t="shared" si="0"/>
        <v>3.048E-2</v>
      </c>
      <c r="BN16" s="137">
        <v>200</v>
      </c>
      <c r="BO16" s="136">
        <v>0.2</v>
      </c>
      <c r="BP16" s="108">
        <f t="shared" si="1"/>
        <v>3.1419999999999997E-2</v>
      </c>
    </row>
    <row r="17" spans="1:69" ht="14.25" customHeight="1" x14ac:dyDescent="0.15">
      <c r="A17" s="76"/>
      <c r="C17" s="375" t="s">
        <v>23</v>
      </c>
      <c r="D17" s="376"/>
      <c r="E17" s="376"/>
      <c r="F17" s="376"/>
      <c r="G17" s="377"/>
      <c r="H17" s="141"/>
      <c r="I17" s="258"/>
      <c r="J17" s="81"/>
      <c r="K17" s="109">
        <v>1</v>
      </c>
      <c r="L17" s="367" t="s">
        <v>144</v>
      </c>
      <c r="M17" s="369"/>
      <c r="N17" s="378">
        <v>0.2</v>
      </c>
      <c r="O17" s="379"/>
      <c r="P17" s="81"/>
      <c r="Q17" s="89"/>
      <c r="R17" s="81"/>
      <c r="S17" s="10" t="s">
        <v>70</v>
      </c>
      <c r="T17" s="12"/>
      <c r="U17" s="81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 s="81"/>
      <c r="BJ17" s="137">
        <v>250</v>
      </c>
      <c r="BK17" s="138">
        <f>0.2716-(0.0075*2+0.004*2)</f>
        <v>0.24860000000000002</v>
      </c>
      <c r="BL17" s="108">
        <f t="shared" si="0"/>
        <v>4.854E-2</v>
      </c>
      <c r="BN17" s="137">
        <v>250</v>
      </c>
      <c r="BO17" s="136">
        <v>0.25</v>
      </c>
      <c r="BP17" s="108">
        <f t="shared" si="1"/>
        <v>4.9090000000000002E-2</v>
      </c>
    </row>
    <row r="18" spans="1:69" ht="14.25" customHeight="1" x14ac:dyDescent="0.15">
      <c r="A18" s="76"/>
      <c r="C18" s="140" t="s">
        <v>28</v>
      </c>
      <c r="D18" s="85"/>
      <c r="E18" s="85"/>
      <c r="F18" s="85"/>
      <c r="G18" s="139"/>
      <c r="H18" s="139"/>
      <c r="I18" s="81"/>
      <c r="J18" s="81"/>
      <c r="K18" s="81"/>
      <c r="L18" s="81"/>
      <c r="M18" s="81"/>
      <c r="N18" s="81"/>
      <c r="O18" s="81"/>
      <c r="P18" s="81"/>
      <c r="Q18" s="89"/>
      <c r="R18" s="81"/>
      <c r="S18" s="10" t="s">
        <v>71</v>
      </c>
      <c r="T18" s="13" t="s">
        <v>177</v>
      </c>
      <c r="U18" s="81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 s="81"/>
      <c r="BJ18" s="137">
        <v>300</v>
      </c>
      <c r="BK18" s="138">
        <f>0.3228-(0.0075*2+0.006*2)</f>
        <v>0.29579999999999995</v>
      </c>
      <c r="BL18" s="108">
        <f t="shared" si="0"/>
        <v>6.8720000000000003E-2</v>
      </c>
      <c r="BN18" s="137">
        <v>300</v>
      </c>
      <c r="BO18" s="136">
        <v>0.3</v>
      </c>
      <c r="BP18" s="108">
        <f t="shared" si="1"/>
        <v>7.0690000000000003E-2</v>
      </c>
    </row>
    <row r="19" spans="1:69" ht="14.25" customHeight="1" x14ac:dyDescent="0.15">
      <c r="A19" s="76"/>
      <c r="Q19" s="76"/>
      <c r="R19" s="81"/>
      <c r="S19" s="10" t="s">
        <v>72</v>
      </c>
      <c r="T19" s="12" t="s">
        <v>349</v>
      </c>
      <c r="U19" s="81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 s="81"/>
    </row>
    <row r="20" spans="1:69" ht="14.25" customHeight="1" x14ac:dyDescent="0.15">
      <c r="A20" s="76"/>
      <c r="B20" s="5">
        <v>2</v>
      </c>
      <c r="C20" s="5" t="s">
        <v>13</v>
      </c>
      <c r="D20" s="5"/>
      <c r="E20" s="5"/>
      <c r="F20" s="5"/>
      <c r="G20" s="5"/>
      <c r="Q20" s="76"/>
      <c r="R20" s="81"/>
      <c r="S20" s="10" t="s">
        <v>74</v>
      </c>
      <c r="T20" s="12" t="s">
        <v>466</v>
      </c>
      <c r="U20" s="81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 s="81"/>
      <c r="BJ20" s="16" t="s">
        <v>145</v>
      </c>
    </row>
    <row r="21" spans="1:69" ht="14.25" customHeight="1" x14ac:dyDescent="0.15">
      <c r="A21" s="76"/>
      <c r="C21" s="135" t="s">
        <v>351</v>
      </c>
      <c r="D21" s="81" t="s">
        <v>181</v>
      </c>
      <c r="E21" s="81"/>
      <c r="F21" s="81"/>
      <c r="G21" s="81"/>
      <c r="H21" s="81"/>
      <c r="I21" s="81"/>
      <c r="J21" s="81"/>
      <c r="Q21" s="76"/>
      <c r="R21" s="81"/>
      <c r="S21" s="9"/>
      <c r="T21" s="12" t="s">
        <v>467</v>
      </c>
      <c r="U21" s="8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 s="81"/>
      <c r="BJ21" s="362" t="s">
        <v>142</v>
      </c>
      <c r="BK21" s="363"/>
      <c r="BL21" s="363"/>
      <c r="BM21" s="364"/>
      <c r="BN21" s="365" t="s">
        <v>143</v>
      </c>
      <c r="BO21" s="366"/>
      <c r="BP21" s="366"/>
      <c r="BQ21" s="364"/>
    </row>
    <row r="22" spans="1:69" ht="14.25" customHeight="1" x14ac:dyDescent="0.15">
      <c r="A22" s="76"/>
      <c r="D22" s="367" t="s">
        <v>61</v>
      </c>
      <c r="E22" s="368"/>
      <c r="F22" s="369"/>
      <c r="G22" s="367" t="s">
        <v>53</v>
      </c>
      <c r="H22" s="369"/>
      <c r="I22" s="367" t="s">
        <v>52</v>
      </c>
      <c r="J22" s="369"/>
      <c r="K22" s="367" t="s">
        <v>1</v>
      </c>
      <c r="L22" s="369"/>
      <c r="M22" s="367" t="s">
        <v>0</v>
      </c>
      <c r="N22" s="369"/>
      <c r="O22" s="367" t="s">
        <v>352</v>
      </c>
      <c r="P22" s="369"/>
      <c r="Q22" s="76"/>
      <c r="R22" s="81"/>
      <c r="S22" s="9" t="s">
        <v>325</v>
      </c>
      <c r="T22" s="12" t="s">
        <v>468</v>
      </c>
      <c r="U22" s="81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 s="81"/>
      <c r="BJ22" s="134" t="s">
        <v>25</v>
      </c>
      <c r="BK22" s="134" t="s">
        <v>26</v>
      </c>
      <c r="BL22" s="134" t="s">
        <v>326</v>
      </c>
      <c r="BM22" s="134" t="s">
        <v>1</v>
      </c>
      <c r="BN22" s="134" t="s">
        <v>25</v>
      </c>
      <c r="BO22" s="134" t="s">
        <v>26</v>
      </c>
      <c r="BP22" s="134" t="s">
        <v>326</v>
      </c>
      <c r="BQ22" s="134" t="s">
        <v>1</v>
      </c>
    </row>
    <row r="23" spans="1:69" ht="14.25" customHeight="1" x14ac:dyDescent="0.15">
      <c r="A23" s="76"/>
      <c r="D23" s="133" t="s">
        <v>353</v>
      </c>
      <c r="E23" s="132" t="s">
        <v>354</v>
      </c>
      <c r="F23" s="131" t="s">
        <v>355</v>
      </c>
      <c r="G23" s="356"/>
      <c r="H23" s="356"/>
      <c r="I23" s="357"/>
      <c r="J23" s="357"/>
      <c r="K23" s="358" t="str">
        <f>IF(G23=0,"",(ROUND($BP23/$BO23,2)))</f>
        <v/>
      </c>
      <c r="L23" s="359"/>
      <c r="M23" s="360"/>
      <c r="N23" s="360"/>
      <c r="O23" s="352">
        <f>IF(I23=0,0,IF(G23&lt;=50,(ROUND((0.0126+(0.01739-0.1087*BJ23)/SQRT(BM23))*M23*POWER(BM23,2)/BJ23/2/9.8,3)),(ROUND(10.666*POWER(110,-1.85)*POWER(BJ23,-4.87)*POWER(BL23,1.85)*M23,3))))</f>
        <v>0</v>
      </c>
      <c r="P23" s="353"/>
      <c r="Q23" s="76"/>
      <c r="R23" s="81"/>
      <c r="S23" s="10" t="s">
        <v>78</v>
      </c>
      <c r="T23" s="157" t="s">
        <v>469</v>
      </c>
      <c r="U23" s="81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 s="81"/>
      <c r="BJ23" s="126">
        <f>IF($G23="",0,VLOOKUP($G23,$BJ$7:$BL$18,2))</f>
        <v>0</v>
      </c>
      <c r="BK23" s="126">
        <f>IF($G23="",0,VLOOKUP($G23,$BJ$7:$BL$18,3))</f>
        <v>0</v>
      </c>
      <c r="BL23" s="130">
        <f>I23/1000</f>
        <v>0</v>
      </c>
      <c r="BM23" s="129">
        <f>IF(BL23=0,0,ROUND(BL23/BK23,2))</f>
        <v>0</v>
      </c>
      <c r="BN23" s="126">
        <f>IF($G23="",0,VLOOKUP($G23,$BN$7:$BP$18,2))</f>
        <v>0</v>
      </c>
      <c r="BO23" s="126">
        <f>IF($G23="",0,VLOOKUP($G23,$BN$7:$BP$18,3))</f>
        <v>0</v>
      </c>
      <c r="BP23" s="130">
        <f>I23/1000</f>
        <v>0</v>
      </c>
      <c r="BQ23" s="129">
        <f>IF(BP23=0,0,ROUND(BP23/BO23,2))</f>
        <v>0</v>
      </c>
    </row>
    <row r="24" spans="1:69" ht="14.25" customHeight="1" x14ac:dyDescent="0.15">
      <c r="A24" s="76"/>
      <c r="D24" s="254" t="s">
        <v>356</v>
      </c>
      <c r="E24" s="128" t="s">
        <v>357</v>
      </c>
      <c r="F24" s="127" t="s">
        <v>358</v>
      </c>
      <c r="G24" s="354"/>
      <c r="H24" s="354"/>
      <c r="I24" s="346"/>
      <c r="J24" s="347"/>
      <c r="K24" s="348" t="str">
        <f>IF(G24=0,"",(ROUND($BP24/$BO24,2)))</f>
        <v/>
      </c>
      <c r="L24" s="349"/>
      <c r="M24" s="361"/>
      <c r="N24" s="351"/>
      <c r="O24" s="352">
        <f>IF(I24=0,0,IF(G24&lt;=50,(ROUND((0.0126+(0.01739-0.1087*BJ24)/SQRT(BM24))*M24*POWER(BM24,2)/BJ24/2/9.8,3)),(ROUND(10.666*POWER(110,-1.85)*POWER(BJ24,-4.87)*POWER(BL24,1.85)*M24,3))))</f>
        <v>0</v>
      </c>
      <c r="P24" s="353"/>
      <c r="Q24" s="76"/>
      <c r="R24" s="81"/>
      <c r="S24" s="160" t="s">
        <v>79</v>
      </c>
      <c r="T24" s="161" t="s">
        <v>347</v>
      </c>
      <c r="U24" s="81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 s="81"/>
      <c r="BJ24" s="126">
        <f t="shared" ref="BJ24:BJ47" si="2">IF($G24="",0,VLOOKUP($G24,$BJ$7:$BL$18,2))</f>
        <v>0</v>
      </c>
      <c r="BK24" s="126">
        <f t="shared" ref="BK24:BK47" si="3">IF($G24="",0,VLOOKUP($G24,$BJ$7:$BL$18,3))</f>
        <v>0</v>
      </c>
      <c r="BL24" s="126">
        <f>I24/1000</f>
        <v>0</v>
      </c>
      <c r="BM24" s="125">
        <f>IF(BL24=0,0,ROUND(BL24/BK24,2))</f>
        <v>0</v>
      </c>
      <c r="BN24" s="126">
        <f t="shared" ref="BN24:BN47" si="4">IF($G24="",0,VLOOKUP($G24,$BN$7:$BP$18,2))</f>
        <v>0</v>
      </c>
      <c r="BO24" s="126">
        <f t="shared" ref="BO24:BO47" si="5">IF($G24="",0,VLOOKUP($G24,$BN$7:$BP$18,3))</f>
        <v>0</v>
      </c>
      <c r="BP24" s="126">
        <f>I24/1000</f>
        <v>0</v>
      </c>
      <c r="BQ24" s="125">
        <f>IF(BP24=0,0,ROUND(BP24/BO24,2))</f>
        <v>0</v>
      </c>
    </row>
    <row r="25" spans="1:69" ht="14.25" customHeight="1" x14ac:dyDescent="0.15">
      <c r="A25" s="76"/>
      <c r="D25" s="122" t="s">
        <v>359</v>
      </c>
      <c r="E25" s="121" t="s">
        <v>35</v>
      </c>
      <c r="F25" s="120" t="s">
        <v>360</v>
      </c>
      <c r="G25" s="354"/>
      <c r="H25" s="354"/>
      <c r="I25" s="355"/>
      <c r="J25" s="347"/>
      <c r="K25" s="348" t="str">
        <f t="shared" ref="K25:K39" si="6">IF(G25=0,"",(ROUND($BP25/$BO25,2)))</f>
        <v/>
      </c>
      <c r="L25" s="349"/>
      <c r="M25" s="350"/>
      <c r="N25" s="351"/>
      <c r="O25" s="352">
        <f t="shared" ref="O25:O47" si="7">IF(I25=0,0,IF(G25&lt;=50,(ROUND((0.0126+(0.01739-0.1087*BJ25)/SQRT(BM25))*M25*POWER(BM25,2)/BJ25/2/9.8,3)),(ROUND(10.666*POWER(110,-1.85)*POWER(BJ25,-4.87)*POWER(BL25,1.85)*M25,3))))</f>
        <v>0</v>
      </c>
      <c r="P25" s="353"/>
      <c r="Q25" s="76"/>
      <c r="R25" s="81"/>
      <c r="S25" s="10" t="s">
        <v>74</v>
      </c>
      <c r="T25" s="159"/>
      <c r="U25" s="81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 s="81"/>
      <c r="BJ25" s="126">
        <f t="shared" si="2"/>
        <v>0</v>
      </c>
      <c r="BK25" s="126">
        <f t="shared" si="3"/>
        <v>0</v>
      </c>
      <c r="BL25" s="126">
        <f t="shared" ref="BL25:BL47" si="8">I25/1000</f>
        <v>0</v>
      </c>
      <c r="BM25" s="125">
        <f t="shared" ref="BM25:BM47" si="9">IF(BL25=0,0,ROUND(BL25/BK25,2))</f>
        <v>0</v>
      </c>
      <c r="BN25" s="126">
        <f t="shared" si="4"/>
        <v>0</v>
      </c>
      <c r="BO25" s="126">
        <f t="shared" si="5"/>
        <v>0</v>
      </c>
      <c r="BP25" s="126">
        <f t="shared" ref="BP25:BP47" si="10">I25/1000</f>
        <v>0</v>
      </c>
      <c r="BQ25" s="125">
        <f t="shared" ref="BQ25:BQ47" si="11">IF(BP25=0,0,ROUND(BP25/BO25,2))</f>
        <v>0</v>
      </c>
    </row>
    <row r="26" spans="1:69" ht="14.25" customHeight="1" x14ac:dyDescent="0.15">
      <c r="A26" s="76"/>
      <c r="D26" s="122" t="s">
        <v>361</v>
      </c>
      <c r="E26" s="121" t="s">
        <v>35</v>
      </c>
      <c r="F26" s="120" t="s">
        <v>362</v>
      </c>
      <c r="G26" s="354"/>
      <c r="H26" s="354"/>
      <c r="I26" s="346"/>
      <c r="J26" s="347"/>
      <c r="K26" s="348" t="str">
        <f t="shared" si="6"/>
        <v/>
      </c>
      <c r="L26" s="349"/>
      <c r="M26" s="350"/>
      <c r="N26" s="351"/>
      <c r="O26" s="352">
        <f t="shared" si="7"/>
        <v>0</v>
      </c>
      <c r="P26" s="353"/>
      <c r="Q26" s="76"/>
      <c r="R26" s="81"/>
      <c r="S26" s="256" t="s">
        <v>463</v>
      </c>
      <c r="T26" s="158" t="s">
        <v>348</v>
      </c>
      <c r="U26" s="81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 s="81"/>
      <c r="BJ26" s="126">
        <f t="shared" si="2"/>
        <v>0</v>
      </c>
      <c r="BK26" s="126">
        <f t="shared" si="3"/>
        <v>0</v>
      </c>
      <c r="BL26" s="126">
        <f t="shared" si="8"/>
        <v>0</v>
      </c>
      <c r="BM26" s="125">
        <f t="shared" si="9"/>
        <v>0</v>
      </c>
      <c r="BN26" s="126">
        <f t="shared" si="4"/>
        <v>0</v>
      </c>
      <c r="BO26" s="126">
        <f t="shared" si="5"/>
        <v>0</v>
      </c>
      <c r="BP26" s="126">
        <f t="shared" si="10"/>
        <v>0</v>
      </c>
      <c r="BQ26" s="125">
        <f t="shared" si="11"/>
        <v>0</v>
      </c>
    </row>
    <row r="27" spans="1:69" ht="14.25" customHeight="1" x14ac:dyDescent="0.15">
      <c r="A27" s="76"/>
      <c r="D27" s="122" t="s">
        <v>362</v>
      </c>
      <c r="E27" s="121" t="s">
        <v>35</v>
      </c>
      <c r="F27" s="120" t="s">
        <v>363</v>
      </c>
      <c r="G27" s="354"/>
      <c r="H27" s="354"/>
      <c r="I27" s="346"/>
      <c r="J27" s="347"/>
      <c r="K27" s="348" t="str">
        <f t="shared" si="6"/>
        <v/>
      </c>
      <c r="L27" s="349"/>
      <c r="M27" s="350"/>
      <c r="N27" s="351"/>
      <c r="O27" s="352">
        <f t="shared" si="7"/>
        <v>0</v>
      </c>
      <c r="P27" s="353"/>
      <c r="Q27" s="76"/>
      <c r="R27" s="81"/>
      <c r="S27" s="256" t="s">
        <v>464</v>
      </c>
      <c r="T27" s="12" t="s">
        <v>81</v>
      </c>
      <c r="U27" s="81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 s="81"/>
      <c r="BJ27" s="126">
        <f t="shared" si="2"/>
        <v>0</v>
      </c>
      <c r="BK27" s="126">
        <f t="shared" si="3"/>
        <v>0</v>
      </c>
      <c r="BL27" s="126">
        <f t="shared" si="8"/>
        <v>0</v>
      </c>
      <c r="BM27" s="125">
        <f t="shared" si="9"/>
        <v>0</v>
      </c>
      <c r="BN27" s="126">
        <f t="shared" si="4"/>
        <v>0</v>
      </c>
      <c r="BO27" s="126">
        <f t="shared" si="5"/>
        <v>0</v>
      </c>
      <c r="BP27" s="126">
        <f t="shared" si="10"/>
        <v>0</v>
      </c>
      <c r="BQ27" s="125">
        <f t="shared" si="11"/>
        <v>0</v>
      </c>
    </row>
    <row r="28" spans="1:69" ht="14.25" customHeight="1" x14ac:dyDescent="0.15">
      <c r="A28" s="76"/>
      <c r="D28" s="122" t="s">
        <v>363</v>
      </c>
      <c r="E28" s="121" t="s">
        <v>35</v>
      </c>
      <c r="F28" s="120" t="s">
        <v>364</v>
      </c>
      <c r="G28" s="354"/>
      <c r="H28" s="354"/>
      <c r="I28" s="346"/>
      <c r="J28" s="347"/>
      <c r="K28" s="348" t="str">
        <f t="shared" si="6"/>
        <v/>
      </c>
      <c r="L28" s="349"/>
      <c r="M28" s="350"/>
      <c r="N28" s="351"/>
      <c r="O28" s="352">
        <f t="shared" si="7"/>
        <v>0</v>
      </c>
      <c r="P28" s="353"/>
      <c r="Q28" s="76"/>
      <c r="R28" s="81"/>
      <c r="S28" s="256" t="s">
        <v>465</v>
      </c>
      <c r="T28" s="12" t="s">
        <v>82</v>
      </c>
      <c r="U28" s="81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 s="81"/>
      <c r="BJ28" s="126">
        <f t="shared" si="2"/>
        <v>0</v>
      </c>
      <c r="BK28" s="126">
        <f t="shared" si="3"/>
        <v>0</v>
      </c>
      <c r="BL28" s="126">
        <f t="shared" si="8"/>
        <v>0</v>
      </c>
      <c r="BM28" s="125">
        <f t="shared" si="9"/>
        <v>0</v>
      </c>
      <c r="BN28" s="126">
        <f t="shared" si="4"/>
        <v>0</v>
      </c>
      <c r="BO28" s="126">
        <f t="shared" si="5"/>
        <v>0</v>
      </c>
      <c r="BP28" s="126">
        <f t="shared" si="10"/>
        <v>0</v>
      </c>
      <c r="BQ28" s="125">
        <f t="shared" si="11"/>
        <v>0</v>
      </c>
    </row>
    <row r="29" spans="1:69" ht="14.25" customHeight="1" x14ac:dyDescent="0.15">
      <c r="A29" s="76"/>
      <c r="D29" s="122" t="s">
        <v>364</v>
      </c>
      <c r="E29" s="121" t="s">
        <v>35</v>
      </c>
      <c r="F29" s="120" t="s">
        <v>365</v>
      </c>
      <c r="G29" s="354"/>
      <c r="H29" s="354"/>
      <c r="I29" s="346"/>
      <c r="J29" s="347"/>
      <c r="K29" s="348" t="str">
        <f t="shared" si="6"/>
        <v/>
      </c>
      <c r="L29" s="349"/>
      <c r="M29" s="350"/>
      <c r="N29" s="351"/>
      <c r="O29" s="352">
        <f t="shared" si="7"/>
        <v>0</v>
      </c>
      <c r="P29" s="353"/>
      <c r="Q29" s="76"/>
      <c r="R29" s="81"/>
      <c r="S29" s="256" t="s">
        <v>460</v>
      </c>
      <c r="T29" s="12" t="s">
        <v>83</v>
      </c>
      <c r="U29" s="81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 s="81"/>
      <c r="BJ29" s="126">
        <f t="shared" si="2"/>
        <v>0</v>
      </c>
      <c r="BK29" s="126">
        <f t="shared" si="3"/>
        <v>0</v>
      </c>
      <c r="BL29" s="126">
        <f t="shared" si="8"/>
        <v>0</v>
      </c>
      <c r="BM29" s="125">
        <f t="shared" si="9"/>
        <v>0</v>
      </c>
      <c r="BN29" s="126">
        <f t="shared" si="4"/>
        <v>0</v>
      </c>
      <c r="BO29" s="126">
        <f t="shared" si="5"/>
        <v>0</v>
      </c>
      <c r="BP29" s="126">
        <f t="shared" si="10"/>
        <v>0</v>
      </c>
      <c r="BQ29" s="125">
        <f t="shared" si="11"/>
        <v>0</v>
      </c>
    </row>
    <row r="30" spans="1:69" ht="14.25" customHeight="1" x14ac:dyDescent="0.15">
      <c r="A30" s="76"/>
      <c r="D30" s="122" t="s">
        <v>365</v>
      </c>
      <c r="E30" s="121" t="s">
        <v>35</v>
      </c>
      <c r="F30" s="120" t="s">
        <v>366</v>
      </c>
      <c r="G30" s="354"/>
      <c r="H30" s="354"/>
      <c r="I30" s="346"/>
      <c r="J30" s="347"/>
      <c r="K30" s="348" t="str">
        <f t="shared" si="6"/>
        <v/>
      </c>
      <c r="L30" s="349"/>
      <c r="M30" s="350"/>
      <c r="N30" s="351"/>
      <c r="O30" s="352">
        <f>IF(I30=0,0,IF(G30&lt;=50,(ROUND((0.0126+(0.01739-0.1087*BJ30)/SQRT(BM30))*M30*POWER(BM30,2)/BJ30/2/9.8,3)),(ROUND(10.666*POWER(110,-1.85)*POWER(BJ30,-4.87)*POWER(BL30,1.85)*M30,3))))</f>
        <v>0</v>
      </c>
      <c r="P30" s="353"/>
      <c r="Q30" s="76"/>
      <c r="R30" s="81"/>
      <c r="S30" s="256" t="s">
        <v>461</v>
      </c>
      <c r="T30" s="13"/>
      <c r="U30" s="81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 s="81"/>
      <c r="BJ30" s="126">
        <f t="shared" si="2"/>
        <v>0</v>
      </c>
      <c r="BK30" s="126">
        <f t="shared" si="3"/>
        <v>0</v>
      </c>
      <c r="BL30" s="126">
        <f t="shared" si="8"/>
        <v>0</v>
      </c>
      <c r="BM30" s="125">
        <f t="shared" si="9"/>
        <v>0</v>
      </c>
      <c r="BN30" s="126">
        <f t="shared" si="4"/>
        <v>0</v>
      </c>
      <c r="BO30" s="126">
        <f t="shared" si="5"/>
        <v>0</v>
      </c>
      <c r="BP30" s="126">
        <f t="shared" si="10"/>
        <v>0</v>
      </c>
      <c r="BQ30" s="125">
        <f t="shared" si="11"/>
        <v>0</v>
      </c>
    </row>
    <row r="31" spans="1:69" ht="14.25" customHeight="1" x14ac:dyDescent="0.15">
      <c r="A31" s="76"/>
      <c r="D31" s="122" t="s">
        <v>367</v>
      </c>
      <c r="E31" s="121" t="s">
        <v>35</v>
      </c>
      <c r="F31" s="120" t="s">
        <v>368</v>
      </c>
      <c r="G31" s="354"/>
      <c r="H31" s="354"/>
      <c r="I31" s="346"/>
      <c r="J31" s="347"/>
      <c r="K31" s="348" t="str">
        <f t="shared" si="6"/>
        <v/>
      </c>
      <c r="L31" s="349"/>
      <c r="M31" s="350"/>
      <c r="N31" s="351"/>
      <c r="O31" s="352">
        <f t="shared" si="7"/>
        <v>0</v>
      </c>
      <c r="P31" s="353"/>
      <c r="Q31" s="76"/>
      <c r="R31" s="81"/>
      <c r="S31" s="256" t="s">
        <v>462</v>
      </c>
      <c r="T31" s="13" t="s">
        <v>327</v>
      </c>
      <c r="U31" s="8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 s="81"/>
      <c r="BJ31" s="126">
        <f t="shared" si="2"/>
        <v>0</v>
      </c>
      <c r="BK31" s="126">
        <f t="shared" si="3"/>
        <v>0</v>
      </c>
      <c r="BL31" s="126">
        <f t="shared" si="8"/>
        <v>0</v>
      </c>
      <c r="BM31" s="125">
        <f t="shared" si="9"/>
        <v>0</v>
      </c>
      <c r="BN31" s="126">
        <f t="shared" si="4"/>
        <v>0</v>
      </c>
      <c r="BO31" s="126">
        <f t="shared" si="5"/>
        <v>0</v>
      </c>
      <c r="BP31" s="126">
        <f t="shared" si="10"/>
        <v>0</v>
      </c>
      <c r="BQ31" s="125">
        <f t="shared" si="11"/>
        <v>0</v>
      </c>
    </row>
    <row r="32" spans="1:69" ht="14.25" customHeight="1" x14ac:dyDescent="0.15">
      <c r="A32" s="76"/>
      <c r="D32" s="122" t="s">
        <v>368</v>
      </c>
      <c r="E32" s="121" t="s">
        <v>35</v>
      </c>
      <c r="F32" s="120" t="s">
        <v>369</v>
      </c>
      <c r="G32" s="354"/>
      <c r="H32" s="354"/>
      <c r="I32" s="346"/>
      <c r="J32" s="347"/>
      <c r="K32" s="348" t="str">
        <f t="shared" si="6"/>
        <v/>
      </c>
      <c r="L32" s="349"/>
      <c r="M32" s="350"/>
      <c r="N32" s="351"/>
      <c r="O32" s="352">
        <f t="shared" si="7"/>
        <v>0</v>
      </c>
      <c r="P32" s="353"/>
      <c r="Q32" s="76"/>
      <c r="R32" s="81"/>
      <c r="S32" s="10" t="s">
        <v>344</v>
      </c>
      <c r="T32" s="12" t="s">
        <v>146</v>
      </c>
      <c r="U32" s="81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 s="81"/>
      <c r="BJ32" s="126">
        <f t="shared" si="2"/>
        <v>0</v>
      </c>
      <c r="BK32" s="126">
        <f t="shared" si="3"/>
        <v>0</v>
      </c>
      <c r="BL32" s="126">
        <f t="shared" si="8"/>
        <v>0</v>
      </c>
      <c r="BM32" s="125">
        <f t="shared" si="9"/>
        <v>0</v>
      </c>
      <c r="BN32" s="126">
        <f t="shared" si="4"/>
        <v>0</v>
      </c>
      <c r="BO32" s="126">
        <f t="shared" si="5"/>
        <v>0</v>
      </c>
      <c r="BP32" s="126">
        <f t="shared" si="10"/>
        <v>0</v>
      </c>
      <c r="BQ32" s="125">
        <f t="shared" si="11"/>
        <v>0</v>
      </c>
    </row>
    <row r="33" spans="1:69" ht="15" customHeight="1" x14ac:dyDescent="0.15">
      <c r="A33" s="76"/>
      <c r="D33" s="122" t="s">
        <v>370</v>
      </c>
      <c r="E33" s="121" t="s">
        <v>35</v>
      </c>
      <c r="F33" s="120" t="s">
        <v>371</v>
      </c>
      <c r="G33" s="354"/>
      <c r="H33" s="354"/>
      <c r="I33" s="346"/>
      <c r="J33" s="347"/>
      <c r="K33" s="348" t="str">
        <f t="shared" si="6"/>
        <v/>
      </c>
      <c r="L33" s="349"/>
      <c r="M33" s="350"/>
      <c r="N33" s="351"/>
      <c r="O33" s="352">
        <f t="shared" si="7"/>
        <v>0</v>
      </c>
      <c r="P33" s="353"/>
      <c r="Q33" s="76"/>
      <c r="R33" s="81"/>
      <c r="S33" s="10" t="s">
        <v>345</v>
      </c>
      <c r="T33" s="12" t="s">
        <v>147</v>
      </c>
      <c r="U33" s="81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 s="81"/>
      <c r="BJ33" s="126">
        <f t="shared" si="2"/>
        <v>0</v>
      </c>
      <c r="BK33" s="126">
        <f t="shared" si="3"/>
        <v>0</v>
      </c>
      <c r="BL33" s="126">
        <f t="shared" si="8"/>
        <v>0</v>
      </c>
      <c r="BM33" s="125">
        <f t="shared" si="9"/>
        <v>0</v>
      </c>
      <c r="BN33" s="126">
        <f t="shared" si="4"/>
        <v>0</v>
      </c>
      <c r="BO33" s="126">
        <f t="shared" si="5"/>
        <v>0</v>
      </c>
      <c r="BP33" s="126">
        <f t="shared" si="10"/>
        <v>0</v>
      </c>
      <c r="BQ33" s="125">
        <f t="shared" si="11"/>
        <v>0</v>
      </c>
    </row>
    <row r="34" spans="1:69" ht="14.25" customHeight="1" x14ac:dyDescent="0.15">
      <c r="A34" s="76"/>
      <c r="D34" s="122" t="s">
        <v>372</v>
      </c>
      <c r="E34" s="121" t="s">
        <v>35</v>
      </c>
      <c r="F34" s="120" t="s">
        <v>373</v>
      </c>
      <c r="G34" s="354"/>
      <c r="H34" s="354"/>
      <c r="I34" s="346"/>
      <c r="J34" s="347"/>
      <c r="K34" s="348" t="str">
        <f t="shared" ref="K34:K36" si="12">IF(G34=0,"",(ROUND($BP34/$BO34,2)))</f>
        <v/>
      </c>
      <c r="L34" s="349"/>
      <c r="M34" s="350"/>
      <c r="N34" s="351"/>
      <c r="O34" s="352">
        <f t="shared" si="7"/>
        <v>0</v>
      </c>
      <c r="P34" s="353"/>
      <c r="Q34" s="76"/>
      <c r="R34" s="81"/>
      <c r="S34" s="10" t="s">
        <v>346</v>
      </c>
      <c r="T34" s="12" t="s">
        <v>149</v>
      </c>
      <c r="U34" s="81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 s="81"/>
      <c r="BJ34" s="126">
        <f t="shared" si="2"/>
        <v>0</v>
      </c>
      <c r="BK34" s="126">
        <f t="shared" si="3"/>
        <v>0</v>
      </c>
      <c r="BL34" s="126">
        <f t="shared" si="8"/>
        <v>0</v>
      </c>
      <c r="BM34" s="125">
        <f t="shared" si="9"/>
        <v>0</v>
      </c>
      <c r="BN34" s="126">
        <f t="shared" si="4"/>
        <v>0</v>
      </c>
      <c r="BO34" s="126">
        <f t="shared" si="5"/>
        <v>0</v>
      </c>
      <c r="BP34" s="126">
        <f t="shared" si="10"/>
        <v>0</v>
      </c>
      <c r="BQ34" s="125">
        <f t="shared" si="11"/>
        <v>0</v>
      </c>
    </row>
    <row r="35" spans="1:69" ht="14.25" customHeight="1" x14ac:dyDescent="0.15">
      <c r="A35" s="76"/>
      <c r="D35" s="122" t="s">
        <v>374</v>
      </c>
      <c r="E35" s="121" t="s">
        <v>35</v>
      </c>
      <c r="F35" s="120" t="s">
        <v>375</v>
      </c>
      <c r="G35" s="354"/>
      <c r="H35" s="354"/>
      <c r="I35" s="346"/>
      <c r="J35" s="347"/>
      <c r="K35" s="348" t="str">
        <f t="shared" si="12"/>
        <v/>
      </c>
      <c r="L35" s="349"/>
      <c r="M35" s="350"/>
      <c r="N35" s="351"/>
      <c r="O35" s="352">
        <f t="shared" si="7"/>
        <v>0</v>
      </c>
      <c r="P35" s="353"/>
      <c r="Q35" s="76"/>
      <c r="R35" s="81"/>
      <c r="S35" s="10"/>
      <c r="T35" s="12" t="s">
        <v>150</v>
      </c>
      <c r="U35" s="81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 s="81"/>
      <c r="BJ35" s="126">
        <f t="shared" si="2"/>
        <v>0</v>
      </c>
      <c r="BK35" s="126">
        <f t="shared" si="3"/>
        <v>0</v>
      </c>
      <c r="BL35" s="126">
        <f t="shared" si="8"/>
        <v>0</v>
      </c>
      <c r="BM35" s="125">
        <f t="shared" si="9"/>
        <v>0</v>
      </c>
      <c r="BN35" s="126">
        <f t="shared" si="4"/>
        <v>0</v>
      </c>
      <c r="BO35" s="126">
        <f t="shared" si="5"/>
        <v>0</v>
      </c>
      <c r="BP35" s="126">
        <f t="shared" si="10"/>
        <v>0</v>
      </c>
      <c r="BQ35" s="125">
        <f t="shared" si="11"/>
        <v>0</v>
      </c>
    </row>
    <row r="36" spans="1:69" ht="14.25" customHeight="1" x14ac:dyDescent="0.15">
      <c r="A36" s="76"/>
      <c r="D36" s="122" t="s">
        <v>375</v>
      </c>
      <c r="E36" s="121" t="s">
        <v>35</v>
      </c>
      <c r="F36" s="120" t="s">
        <v>376</v>
      </c>
      <c r="G36" s="354"/>
      <c r="H36" s="354"/>
      <c r="I36" s="346"/>
      <c r="J36" s="347"/>
      <c r="K36" s="348" t="str">
        <f t="shared" si="12"/>
        <v/>
      </c>
      <c r="L36" s="349"/>
      <c r="M36" s="350"/>
      <c r="N36" s="351"/>
      <c r="O36" s="352">
        <f t="shared" si="7"/>
        <v>0</v>
      </c>
      <c r="P36" s="353"/>
      <c r="Q36" s="76"/>
      <c r="R36" s="81"/>
      <c r="S36" s="9" t="s">
        <v>330</v>
      </c>
      <c r="T36" s="12" t="s">
        <v>148</v>
      </c>
      <c r="U36" s="81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 s="81"/>
      <c r="BJ36" s="126">
        <f t="shared" si="2"/>
        <v>0</v>
      </c>
      <c r="BK36" s="126">
        <f t="shared" si="3"/>
        <v>0</v>
      </c>
      <c r="BL36" s="126">
        <f t="shared" si="8"/>
        <v>0</v>
      </c>
      <c r="BM36" s="125">
        <f t="shared" si="9"/>
        <v>0</v>
      </c>
      <c r="BN36" s="126">
        <f t="shared" si="4"/>
        <v>0</v>
      </c>
      <c r="BO36" s="126">
        <f t="shared" si="5"/>
        <v>0</v>
      </c>
      <c r="BP36" s="126">
        <f t="shared" si="10"/>
        <v>0</v>
      </c>
      <c r="BQ36" s="125">
        <f t="shared" si="11"/>
        <v>0</v>
      </c>
    </row>
    <row r="37" spans="1:69" ht="14.25" customHeight="1" x14ac:dyDescent="0.15">
      <c r="A37" s="76"/>
      <c r="D37" s="122" t="s">
        <v>377</v>
      </c>
      <c r="E37" s="121" t="s">
        <v>35</v>
      </c>
      <c r="F37" s="120" t="s">
        <v>378</v>
      </c>
      <c r="G37" s="344"/>
      <c r="H37" s="345"/>
      <c r="I37" s="346"/>
      <c r="J37" s="347"/>
      <c r="K37" s="348" t="str">
        <f t="shared" si="6"/>
        <v/>
      </c>
      <c r="L37" s="349"/>
      <c r="M37" s="350"/>
      <c r="N37" s="351"/>
      <c r="O37" s="352">
        <f t="shared" si="7"/>
        <v>0</v>
      </c>
      <c r="P37" s="353"/>
      <c r="Q37" s="76"/>
      <c r="R37" s="81"/>
      <c r="S37" s="10" t="s">
        <v>92</v>
      </c>
      <c r="T37" s="12" t="s">
        <v>176</v>
      </c>
      <c r="U37" s="81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 s="81"/>
      <c r="BJ37" s="126">
        <f t="shared" si="2"/>
        <v>0</v>
      </c>
      <c r="BK37" s="126">
        <f t="shared" si="3"/>
        <v>0</v>
      </c>
      <c r="BL37" s="126">
        <f t="shared" si="8"/>
        <v>0</v>
      </c>
      <c r="BM37" s="125">
        <f t="shared" si="9"/>
        <v>0</v>
      </c>
      <c r="BN37" s="126">
        <f t="shared" si="4"/>
        <v>0</v>
      </c>
      <c r="BO37" s="126">
        <f t="shared" si="5"/>
        <v>0</v>
      </c>
      <c r="BP37" s="126">
        <f t="shared" si="10"/>
        <v>0</v>
      </c>
      <c r="BQ37" s="125">
        <f t="shared" si="11"/>
        <v>0</v>
      </c>
    </row>
    <row r="38" spans="1:69" ht="14.25" customHeight="1" x14ac:dyDescent="0.15">
      <c r="A38" s="76"/>
      <c r="D38" s="122" t="s">
        <v>379</v>
      </c>
      <c r="E38" s="121" t="s">
        <v>35</v>
      </c>
      <c r="F38" s="120" t="s">
        <v>380</v>
      </c>
      <c r="G38" s="344"/>
      <c r="H38" s="345"/>
      <c r="I38" s="346"/>
      <c r="J38" s="347"/>
      <c r="K38" s="348" t="str">
        <f t="shared" si="6"/>
        <v/>
      </c>
      <c r="L38" s="349"/>
      <c r="M38" s="350"/>
      <c r="N38" s="351"/>
      <c r="O38" s="352">
        <f t="shared" si="7"/>
        <v>0</v>
      </c>
      <c r="P38" s="353"/>
      <c r="Q38" s="76"/>
      <c r="R38" s="81"/>
      <c r="S38" s="10" t="s">
        <v>93</v>
      </c>
      <c r="T38" s="12" t="s">
        <v>175</v>
      </c>
      <c r="U38" s="81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 s="81"/>
      <c r="BJ38" s="126">
        <f t="shared" si="2"/>
        <v>0</v>
      </c>
      <c r="BK38" s="126">
        <f t="shared" si="3"/>
        <v>0</v>
      </c>
      <c r="BL38" s="126">
        <f t="shared" si="8"/>
        <v>0</v>
      </c>
      <c r="BM38" s="125">
        <f t="shared" si="9"/>
        <v>0</v>
      </c>
      <c r="BN38" s="126">
        <f t="shared" si="4"/>
        <v>0</v>
      </c>
      <c r="BO38" s="126">
        <f t="shared" si="5"/>
        <v>0</v>
      </c>
      <c r="BP38" s="126">
        <f t="shared" si="10"/>
        <v>0</v>
      </c>
      <c r="BQ38" s="125">
        <f t="shared" si="11"/>
        <v>0</v>
      </c>
    </row>
    <row r="39" spans="1:69" ht="14.25" customHeight="1" x14ac:dyDescent="0.15">
      <c r="A39" s="76"/>
      <c r="D39" s="122" t="s">
        <v>381</v>
      </c>
      <c r="E39" s="121" t="s">
        <v>35</v>
      </c>
      <c r="F39" s="120" t="s">
        <v>382</v>
      </c>
      <c r="G39" s="344"/>
      <c r="H39" s="345"/>
      <c r="I39" s="346"/>
      <c r="J39" s="347"/>
      <c r="K39" s="348" t="str">
        <f t="shared" si="6"/>
        <v/>
      </c>
      <c r="L39" s="349"/>
      <c r="M39" s="350"/>
      <c r="N39" s="351"/>
      <c r="O39" s="352">
        <f t="shared" si="7"/>
        <v>0</v>
      </c>
      <c r="P39" s="353"/>
      <c r="Q39" s="76"/>
      <c r="R39" s="81"/>
      <c r="S39" s="10" t="s">
        <v>94</v>
      </c>
      <c r="T39" s="17"/>
      <c r="U39" s="81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 s="81"/>
      <c r="BJ39" s="126">
        <f t="shared" si="2"/>
        <v>0</v>
      </c>
      <c r="BK39" s="126">
        <f t="shared" si="3"/>
        <v>0</v>
      </c>
      <c r="BL39" s="126">
        <f t="shared" si="8"/>
        <v>0</v>
      </c>
      <c r="BM39" s="125">
        <f t="shared" si="9"/>
        <v>0</v>
      </c>
      <c r="BN39" s="126">
        <f t="shared" si="4"/>
        <v>0</v>
      </c>
      <c r="BO39" s="126">
        <f t="shared" si="5"/>
        <v>0</v>
      </c>
      <c r="BP39" s="126">
        <f t="shared" si="10"/>
        <v>0</v>
      </c>
      <c r="BQ39" s="125">
        <f t="shared" si="11"/>
        <v>0</v>
      </c>
    </row>
    <row r="40" spans="1:69" ht="14.25" customHeight="1" x14ac:dyDescent="0.15">
      <c r="A40" s="76"/>
      <c r="D40" s="122" t="s">
        <v>382</v>
      </c>
      <c r="E40" s="121" t="s">
        <v>35</v>
      </c>
      <c r="F40" s="120" t="s">
        <v>383</v>
      </c>
      <c r="G40" s="344"/>
      <c r="H40" s="345"/>
      <c r="I40" s="346"/>
      <c r="J40" s="347"/>
      <c r="K40" s="348" t="str">
        <f>IF(G40=0,"",(ROUND($BP40/$BO40,2)))</f>
        <v/>
      </c>
      <c r="L40" s="349"/>
      <c r="M40" s="350"/>
      <c r="N40" s="351"/>
      <c r="O40" s="352">
        <f t="shared" si="7"/>
        <v>0</v>
      </c>
      <c r="P40" s="353"/>
      <c r="Q40" s="76"/>
      <c r="R40" s="81"/>
      <c r="S40" s="10" t="s">
        <v>95</v>
      </c>
      <c r="T40" s="18" t="s">
        <v>193</v>
      </c>
      <c r="U40" s="81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 s="81"/>
      <c r="BJ40" s="126">
        <f t="shared" si="2"/>
        <v>0</v>
      </c>
      <c r="BK40" s="126">
        <f t="shared" si="3"/>
        <v>0</v>
      </c>
      <c r="BL40" s="126">
        <f t="shared" si="8"/>
        <v>0</v>
      </c>
      <c r="BM40" s="125">
        <f t="shared" si="9"/>
        <v>0</v>
      </c>
      <c r="BN40" s="126">
        <f t="shared" si="4"/>
        <v>0</v>
      </c>
      <c r="BO40" s="126">
        <f t="shared" si="5"/>
        <v>0</v>
      </c>
      <c r="BP40" s="126">
        <f t="shared" si="10"/>
        <v>0</v>
      </c>
      <c r="BQ40" s="125">
        <f t="shared" si="11"/>
        <v>0</v>
      </c>
    </row>
    <row r="41" spans="1:69" ht="14.25" customHeight="1" x14ac:dyDescent="0.15">
      <c r="A41" s="76"/>
      <c r="D41" s="122" t="s">
        <v>384</v>
      </c>
      <c r="E41" s="121" t="s">
        <v>35</v>
      </c>
      <c r="F41" s="120" t="s">
        <v>385</v>
      </c>
      <c r="G41" s="344"/>
      <c r="H41" s="345"/>
      <c r="I41" s="346"/>
      <c r="J41" s="347"/>
      <c r="K41" s="348" t="str">
        <f t="shared" ref="K41:K47" si="13">IF(G41=0,"",(ROUND($BP41/$BO41,2)))</f>
        <v/>
      </c>
      <c r="L41" s="349"/>
      <c r="M41" s="350"/>
      <c r="N41" s="351"/>
      <c r="O41" s="352">
        <f t="shared" si="7"/>
        <v>0</v>
      </c>
      <c r="P41" s="353"/>
      <c r="Q41" s="76"/>
      <c r="R41" s="81"/>
      <c r="S41" s="10" t="s">
        <v>96</v>
      </c>
      <c r="T41" s="19" t="s">
        <v>194</v>
      </c>
      <c r="U41" s="8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 s="81"/>
      <c r="BJ41" s="126">
        <f t="shared" si="2"/>
        <v>0</v>
      </c>
      <c r="BK41" s="126">
        <f t="shared" si="3"/>
        <v>0</v>
      </c>
      <c r="BL41" s="126">
        <f t="shared" si="8"/>
        <v>0</v>
      </c>
      <c r="BM41" s="125">
        <f t="shared" si="9"/>
        <v>0</v>
      </c>
      <c r="BN41" s="126">
        <f t="shared" si="4"/>
        <v>0</v>
      </c>
      <c r="BO41" s="126">
        <f t="shared" si="5"/>
        <v>0</v>
      </c>
      <c r="BP41" s="126">
        <f t="shared" si="10"/>
        <v>0</v>
      </c>
      <c r="BQ41" s="125">
        <f t="shared" si="11"/>
        <v>0</v>
      </c>
    </row>
    <row r="42" spans="1:69" ht="14.25" customHeight="1" x14ac:dyDescent="0.15">
      <c r="A42" s="76"/>
      <c r="D42" s="122" t="s">
        <v>385</v>
      </c>
      <c r="E42" s="121" t="s">
        <v>35</v>
      </c>
      <c r="F42" s="120" t="s">
        <v>386</v>
      </c>
      <c r="G42" s="344"/>
      <c r="H42" s="345"/>
      <c r="I42" s="346"/>
      <c r="J42" s="347"/>
      <c r="K42" s="348" t="str">
        <f t="shared" si="13"/>
        <v/>
      </c>
      <c r="L42" s="349"/>
      <c r="M42" s="350"/>
      <c r="N42" s="351"/>
      <c r="O42" s="352">
        <f t="shared" si="7"/>
        <v>0</v>
      </c>
      <c r="P42" s="353"/>
      <c r="Q42" s="89"/>
      <c r="R42" s="81"/>
      <c r="S42" s="10" t="s">
        <v>331</v>
      </c>
      <c r="T42" s="19" t="s">
        <v>195</v>
      </c>
      <c r="U42" s="81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 s="81"/>
      <c r="BJ42" s="119">
        <f t="shared" si="2"/>
        <v>0</v>
      </c>
      <c r="BK42" s="119">
        <f t="shared" si="3"/>
        <v>0</v>
      </c>
      <c r="BL42" s="119">
        <f t="shared" si="8"/>
        <v>0</v>
      </c>
      <c r="BM42" s="118">
        <f t="shared" si="9"/>
        <v>0</v>
      </c>
      <c r="BN42" s="119">
        <f t="shared" si="4"/>
        <v>0</v>
      </c>
      <c r="BO42" s="119">
        <f t="shared" si="5"/>
        <v>0</v>
      </c>
      <c r="BP42" s="119">
        <f t="shared" si="10"/>
        <v>0</v>
      </c>
      <c r="BQ42" s="118">
        <f t="shared" si="11"/>
        <v>0</v>
      </c>
    </row>
    <row r="43" spans="1:69" ht="14.25" customHeight="1" x14ac:dyDescent="0.15">
      <c r="A43" s="76"/>
      <c r="D43" s="124" t="s">
        <v>387</v>
      </c>
      <c r="E43" s="121" t="s">
        <v>35</v>
      </c>
      <c r="F43" s="123" t="s">
        <v>388</v>
      </c>
      <c r="G43" s="344"/>
      <c r="H43" s="345"/>
      <c r="I43" s="346"/>
      <c r="J43" s="347"/>
      <c r="K43" s="348" t="str">
        <f t="shared" si="13"/>
        <v/>
      </c>
      <c r="L43" s="349"/>
      <c r="M43" s="350"/>
      <c r="N43" s="351"/>
      <c r="O43" s="352">
        <f t="shared" si="7"/>
        <v>0</v>
      </c>
      <c r="P43" s="353"/>
      <c r="Q43" s="89"/>
      <c r="R43" s="81"/>
      <c r="S43" s="10" t="s">
        <v>97</v>
      </c>
      <c r="T43" s="19" t="s">
        <v>196</v>
      </c>
      <c r="U43" s="81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 s="81"/>
      <c r="BJ43" s="119">
        <f t="shared" si="2"/>
        <v>0</v>
      </c>
      <c r="BK43" s="119">
        <f t="shared" si="3"/>
        <v>0</v>
      </c>
      <c r="BL43" s="119">
        <f t="shared" si="8"/>
        <v>0</v>
      </c>
      <c r="BM43" s="118">
        <f t="shared" si="9"/>
        <v>0</v>
      </c>
      <c r="BN43" s="119">
        <f t="shared" si="4"/>
        <v>0</v>
      </c>
      <c r="BO43" s="119">
        <f t="shared" si="5"/>
        <v>0</v>
      </c>
      <c r="BP43" s="119">
        <f t="shared" si="10"/>
        <v>0</v>
      </c>
      <c r="BQ43" s="118">
        <f t="shared" si="11"/>
        <v>0</v>
      </c>
    </row>
    <row r="44" spans="1:69" ht="14.25" customHeight="1" x14ac:dyDescent="0.15">
      <c r="A44" s="76"/>
      <c r="D44" s="122" t="s">
        <v>389</v>
      </c>
      <c r="E44" s="121" t="s">
        <v>35</v>
      </c>
      <c r="F44" s="120" t="s">
        <v>390</v>
      </c>
      <c r="G44" s="344"/>
      <c r="H44" s="345"/>
      <c r="I44" s="346"/>
      <c r="J44" s="347"/>
      <c r="K44" s="348" t="str">
        <f t="shared" si="13"/>
        <v/>
      </c>
      <c r="L44" s="349"/>
      <c r="M44" s="350"/>
      <c r="N44" s="351"/>
      <c r="O44" s="352">
        <f t="shared" si="7"/>
        <v>0</v>
      </c>
      <c r="P44" s="353"/>
      <c r="Q44" s="89"/>
      <c r="R44" s="81"/>
      <c r="S44" s="10" t="s">
        <v>98</v>
      </c>
      <c r="T44" s="17"/>
      <c r="U44" s="81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 s="81"/>
      <c r="BJ44" s="119">
        <f t="shared" si="2"/>
        <v>0</v>
      </c>
      <c r="BK44" s="119">
        <f t="shared" si="3"/>
        <v>0</v>
      </c>
      <c r="BL44" s="119">
        <f t="shared" si="8"/>
        <v>0</v>
      </c>
      <c r="BM44" s="118">
        <f t="shared" si="9"/>
        <v>0</v>
      </c>
      <c r="BN44" s="119">
        <f t="shared" si="4"/>
        <v>0</v>
      </c>
      <c r="BO44" s="119">
        <f t="shared" si="5"/>
        <v>0</v>
      </c>
      <c r="BP44" s="119">
        <f t="shared" si="10"/>
        <v>0</v>
      </c>
      <c r="BQ44" s="118">
        <f t="shared" si="11"/>
        <v>0</v>
      </c>
    </row>
    <row r="45" spans="1:69" ht="14.25" customHeight="1" x14ac:dyDescent="0.15">
      <c r="A45" s="76"/>
      <c r="D45" s="122" t="s">
        <v>390</v>
      </c>
      <c r="E45" s="121" t="s">
        <v>35</v>
      </c>
      <c r="F45" s="120" t="s">
        <v>391</v>
      </c>
      <c r="G45" s="344"/>
      <c r="H45" s="345"/>
      <c r="I45" s="346"/>
      <c r="J45" s="347"/>
      <c r="K45" s="348" t="str">
        <f t="shared" si="13"/>
        <v/>
      </c>
      <c r="L45" s="349"/>
      <c r="M45" s="350"/>
      <c r="N45" s="351"/>
      <c r="O45" s="352">
        <f t="shared" si="7"/>
        <v>0</v>
      </c>
      <c r="P45" s="353"/>
      <c r="Q45" s="89"/>
      <c r="R45" s="81"/>
      <c r="S45" s="10" t="s">
        <v>99</v>
      </c>
      <c r="T45" s="13" t="s">
        <v>328</v>
      </c>
      <c r="U45" s="81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 s="81"/>
      <c r="BJ45" s="119">
        <f t="shared" si="2"/>
        <v>0</v>
      </c>
      <c r="BK45" s="119">
        <f t="shared" si="3"/>
        <v>0</v>
      </c>
      <c r="BL45" s="119">
        <f t="shared" si="8"/>
        <v>0</v>
      </c>
      <c r="BM45" s="118">
        <f t="shared" si="9"/>
        <v>0</v>
      </c>
      <c r="BN45" s="119">
        <f t="shared" si="4"/>
        <v>0</v>
      </c>
      <c r="BO45" s="119">
        <f t="shared" si="5"/>
        <v>0</v>
      </c>
      <c r="BP45" s="119">
        <f t="shared" si="10"/>
        <v>0</v>
      </c>
      <c r="BQ45" s="118">
        <f t="shared" si="11"/>
        <v>0</v>
      </c>
    </row>
    <row r="46" spans="1:69" ht="14.25" customHeight="1" x14ac:dyDescent="0.15">
      <c r="A46" s="76"/>
      <c r="D46" s="122" t="s">
        <v>392</v>
      </c>
      <c r="E46" s="121" t="s">
        <v>35</v>
      </c>
      <c r="F46" s="120" t="s">
        <v>393</v>
      </c>
      <c r="G46" s="344"/>
      <c r="H46" s="345"/>
      <c r="I46" s="346"/>
      <c r="J46" s="347"/>
      <c r="K46" s="348" t="str">
        <f t="shared" si="13"/>
        <v/>
      </c>
      <c r="L46" s="349"/>
      <c r="M46" s="350"/>
      <c r="N46" s="351"/>
      <c r="O46" s="352">
        <f t="shared" si="7"/>
        <v>0</v>
      </c>
      <c r="P46" s="353"/>
      <c r="Q46" s="89"/>
      <c r="R46" s="81"/>
      <c r="S46" s="10" t="s">
        <v>100</v>
      </c>
      <c r="T46" s="12" t="s">
        <v>450</v>
      </c>
      <c r="U46" s="81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 s="81"/>
      <c r="BJ46" s="119">
        <f t="shared" si="2"/>
        <v>0</v>
      </c>
      <c r="BK46" s="119">
        <f t="shared" si="3"/>
        <v>0</v>
      </c>
      <c r="BL46" s="119">
        <f t="shared" si="8"/>
        <v>0</v>
      </c>
      <c r="BM46" s="118">
        <f t="shared" si="9"/>
        <v>0</v>
      </c>
      <c r="BN46" s="119">
        <f t="shared" si="4"/>
        <v>0</v>
      </c>
      <c r="BO46" s="119">
        <f t="shared" si="5"/>
        <v>0</v>
      </c>
      <c r="BP46" s="119">
        <f t="shared" si="10"/>
        <v>0</v>
      </c>
      <c r="BQ46" s="118">
        <f t="shared" si="11"/>
        <v>0</v>
      </c>
    </row>
    <row r="47" spans="1:69" ht="14.25" customHeight="1" thickBot="1" x14ac:dyDescent="0.2">
      <c r="A47" s="76"/>
      <c r="D47" s="252" t="s">
        <v>393</v>
      </c>
      <c r="E47" s="117" t="s">
        <v>35</v>
      </c>
      <c r="F47" s="253" t="s">
        <v>394</v>
      </c>
      <c r="G47" s="328"/>
      <c r="H47" s="329"/>
      <c r="I47" s="330"/>
      <c r="J47" s="331"/>
      <c r="K47" s="332" t="str">
        <f t="shared" si="13"/>
        <v/>
      </c>
      <c r="L47" s="333"/>
      <c r="M47" s="334"/>
      <c r="N47" s="335"/>
      <c r="O47" s="336">
        <f t="shared" si="7"/>
        <v>0</v>
      </c>
      <c r="P47" s="337"/>
      <c r="Q47" s="89"/>
      <c r="R47" s="81"/>
      <c r="T47" s="12" t="s">
        <v>174</v>
      </c>
      <c r="U47" s="81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 s="81"/>
      <c r="BJ47" s="116">
        <f t="shared" si="2"/>
        <v>0</v>
      </c>
      <c r="BK47" s="116">
        <f t="shared" si="3"/>
        <v>0</v>
      </c>
      <c r="BL47" s="116">
        <f t="shared" si="8"/>
        <v>0</v>
      </c>
      <c r="BM47" s="115">
        <f t="shared" si="9"/>
        <v>0</v>
      </c>
      <c r="BN47" s="116">
        <f t="shared" si="4"/>
        <v>0</v>
      </c>
      <c r="BO47" s="116">
        <f t="shared" si="5"/>
        <v>0</v>
      </c>
      <c r="BP47" s="116">
        <f t="shared" si="10"/>
        <v>0</v>
      </c>
      <c r="BQ47" s="115">
        <f t="shared" si="11"/>
        <v>0</v>
      </c>
    </row>
    <row r="48" spans="1:69" ht="14.25" customHeight="1" thickTop="1" x14ac:dyDescent="0.15">
      <c r="A48" s="76"/>
      <c r="D48" s="286" t="s">
        <v>14</v>
      </c>
      <c r="E48" s="287"/>
      <c r="F48" s="288"/>
      <c r="G48" s="338"/>
      <c r="H48" s="339"/>
      <c r="I48" s="340" t="str">
        <f>"最大 "&amp;MAX(I23:I47)</f>
        <v>最大 0</v>
      </c>
      <c r="J48" s="288"/>
      <c r="K48" s="340" t="str">
        <f>"最大 "&amp;MAX(K23:K47)</f>
        <v>最大 0</v>
      </c>
      <c r="L48" s="288"/>
      <c r="M48" s="341">
        <f>SUM(M23:N47)</f>
        <v>0</v>
      </c>
      <c r="N48" s="342"/>
      <c r="O48" s="340">
        <f>SUM(O23:P47)</f>
        <v>0</v>
      </c>
      <c r="P48" s="343"/>
      <c r="Q48" s="89"/>
      <c r="R48" s="81"/>
      <c r="S48" s="9" t="s">
        <v>334</v>
      </c>
      <c r="T48" s="12" t="s">
        <v>451</v>
      </c>
      <c r="U48" s="81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 s="81"/>
    </row>
    <row r="49" spans="1:65" ht="14.25" customHeight="1" x14ac:dyDescent="0.15">
      <c r="A49" s="76"/>
      <c r="Q49" s="89"/>
      <c r="R49" s="81"/>
      <c r="S49" s="10" t="s">
        <v>151</v>
      </c>
      <c r="T49" s="12" t="s">
        <v>452</v>
      </c>
      <c r="U49" s="81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 s="81"/>
    </row>
    <row r="50" spans="1:65" ht="14.25" customHeight="1" x14ac:dyDescent="0.15">
      <c r="A50" s="76"/>
      <c r="C50" s="114" t="s">
        <v>395</v>
      </c>
      <c r="D50" s="77" t="s">
        <v>91</v>
      </c>
      <c r="Q50" s="89"/>
      <c r="R50" s="81"/>
      <c r="S50" s="10" t="s">
        <v>101</v>
      </c>
      <c r="T50" s="12" t="s">
        <v>453</v>
      </c>
      <c r="U50" s="81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 s="81"/>
      <c r="BJ50" s="77" t="s">
        <v>167</v>
      </c>
    </row>
    <row r="51" spans="1:65" ht="14.25" customHeight="1" x14ac:dyDescent="0.15">
      <c r="A51" s="76"/>
      <c r="D51" s="113"/>
      <c r="E51" s="245" t="s">
        <v>56</v>
      </c>
      <c r="F51" s="112"/>
      <c r="G51" s="111" t="s">
        <v>33</v>
      </c>
      <c r="H51" s="250" t="s">
        <v>53</v>
      </c>
      <c r="I51" s="322" t="s">
        <v>52</v>
      </c>
      <c r="J51" s="322"/>
      <c r="K51" s="322" t="s">
        <v>1</v>
      </c>
      <c r="L51" s="322"/>
      <c r="M51" s="322" t="s">
        <v>0</v>
      </c>
      <c r="N51" s="322"/>
      <c r="O51" s="322" t="s">
        <v>396</v>
      </c>
      <c r="P51" s="323"/>
      <c r="Q51" s="89"/>
      <c r="R51" s="81"/>
      <c r="S51" s="10" t="s">
        <v>102</v>
      </c>
      <c r="T51" s="12" t="s">
        <v>454</v>
      </c>
      <c r="U51" s="8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 s="81"/>
      <c r="BJ51" s="259">
        <v>0.25</v>
      </c>
    </row>
    <row r="52" spans="1:65" ht="14.25" customHeight="1" x14ac:dyDescent="0.15">
      <c r="A52" s="76"/>
      <c r="D52" s="304" t="str">
        <f>IF(器具類損失水頭計算書!AN6=0,"",器具類損失水頭計算書!AN6)</f>
        <v/>
      </c>
      <c r="E52" s="305"/>
      <c r="F52" s="306"/>
      <c r="G52" s="104" t="str">
        <f>IF(器具類損失水頭計算書!AO6=0,"",器具類損失水頭計算書!AO6)</f>
        <v/>
      </c>
      <c r="H52" s="110" t="str">
        <f>IF(器具類損失水頭計算書!AP6=0,"",器具類損失水頭計算書!AP6)</f>
        <v/>
      </c>
      <c r="I52" s="324" t="str">
        <f>IF(器具類損失水頭計算書!AQ6=0,"",器具類損失水頭計算書!AQ6)</f>
        <v/>
      </c>
      <c r="J52" s="324"/>
      <c r="K52" s="324" t="str">
        <f>IF(器具類損失水頭計算書!AR6=0,"",器具類損失水頭計算書!AR6)</f>
        <v/>
      </c>
      <c r="L52" s="325"/>
      <c r="M52" s="324" t="str">
        <f>IF(器具類損失水頭計算書!AS6=0,"",器具類損失水頭計算書!AS6)</f>
        <v/>
      </c>
      <c r="N52" s="324"/>
      <c r="O52" s="326" t="str">
        <f>IF(器具類損失水頭計算書!AT6=0,"-",器具類損失水頭計算書!AT6)</f>
        <v>-</v>
      </c>
      <c r="P52" s="327"/>
      <c r="Q52" s="89"/>
      <c r="R52" s="81"/>
      <c r="S52" s="10" t="s">
        <v>103</v>
      </c>
      <c r="T52" s="12" t="s">
        <v>455</v>
      </c>
      <c r="U52" s="81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 s="81"/>
      <c r="BJ52" s="259">
        <v>0.2</v>
      </c>
    </row>
    <row r="53" spans="1:65" ht="14.25" customHeight="1" x14ac:dyDescent="0.15">
      <c r="A53" s="76"/>
      <c r="D53" s="311" t="str">
        <f>IF(器具類損失水頭計算書!AN7=0,"",器具類損失水頭計算書!AN7)</f>
        <v/>
      </c>
      <c r="E53" s="312"/>
      <c r="F53" s="313"/>
      <c r="G53" s="106" t="str">
        <f>IF(器具類損失水頭計算書!AO7=0,"",器具類損失水頭計算書!AO7)</f>
        <v/>
      </c>
      <c r="H53" s="107" t="str">
        <f>IF(器具類損失水頭計算書!AP7=0,"",器具類損失水頭計算書!AP7)</f>
        <v/>
      </c>
      <c r="I53" s="318" t="str">
        <f>IF(器具類損失水頭計算書!AQ7=0,"",器具類損失水頭計算書!AQ7)</f>
        <v/>
      </c>
      <c r="J53" s="318"/>
      <c r="K53" s="318" t="str">
        <f>IF(器具類損失水頭計算書!AR7=0,"",器具類損失水頭計算書!AR7)</f>
        <v/>
      </c>
      <c r="L53" s="319"/>
      <c r="M53" s="318" t="str">
        <f>IF(器具類損失水頭計算書!AS7=0,"",器具類損失水頭計算書!AS7)</f>
        <v/>
      </c>
      <c r="N53" s="318"/>
      <c r="O53" s="320" t="str">
        <f>IF(器具類損失水頭計算書!AT7=0,"-",器具類損失水頭計算書!AT7)</f>
        <v>-</v>
      </c>
      <c r="P53" s="321"/>
      <c r="Q53" s="89"/>
      <c r="R53" s="81"/>
      <c r="S53" s="10" t="s">
        <v>104</v>
      </c>
      <c r="T53" s="12" t="s">
        <v>456</v>
      </c>
      <c r="U53" s="81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 s="81"/>
    </row>
    <row r="54" spans="1:65" ht="14.25" customHeight="1" x14ac:dyDescent="0.15">
      <c r="A54" s="76"/>
      <c r="D54" s="311" t="str">
        <f>IF(器具類損失水頭計算書!AN8=0,"",器具類損失水頭計算書!AN8)</f>
        <v/>
      </c>
      <c r="E54" s="312"/>
      <c r="F54" s="313"/>
      <c r="G54" s="106" t="str">
        <f>IF(器具類損失水頭計算書!AO8=0,"",器具類損失水頭計算書!AO8)</f>
        <v/>
      </c>
      <c r="H54" s="107" t="str">
        <f>IF(器具類損失水頭計算書!AP8=0,"",器具類損失水頭計算書!AP8)</f>
        <v/>
      </c>
      <c r="I54" s="318" t="str">
        <f>IF(器具類損失水頭計算書!AQ8=0,"",器具類損失水頭計算書!AQ8)</f>
        <v/>
      </c>
      <c r="J54" s="318"/>
      <c r="K54" s="318" t="str">
        <f>IF(器具類損失水頭計算書!AR8=0,"",器具類損失水頭計算書!AR8)</f>
        <v/>
      </c>
      <c r="L54" s="319"/>
      <c r="M54" s="318" t="str">
        <f>IF(器具類損失水頭計算書!AS8=0,"",器具類損失水頭計算書!AS8)</f>
        <v/>
      </c>
      <c r="N54" s="318"/>
      <c r="O54" s="320" t="str">
        <f>IF(器具類損失水頭計算書!AT8=0,"-",器具類損失水頭計算書!AT8)</f>
        <v>-</v>
      </c>
      <c r="P54" s="321"/>
      <c r="Q54" s="89"/>
      <c r="R54" s="81"/>
      <c r="S54" s="10" t="s">
        <v>173</v>
      </c>
      <c r="T54" s="12" t="s">
        <v>459</v>
      </c>
      <c r="U54" s="81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 s="81"/>
      <c r="BJ54" s="77" t="s">
        <v>192</v>
      </c>
    </row>
    <row r="55" spans="1:65" ht="14.25" customHeight="1" x14ac:dyDescent="0.15">
      <c r="A55" s="76"/>
      <c r="D55" s="311" t="str">
        <f>IF(器具類損失水頭計算書!AN9=0,"",器具類損失水頭計算書!AN9)</f>
        <v/>
      </c>
      <c r="E55" s="312"/>
      <c r="F55" s="313"/>
      <c r="G55" s="106" t="str">
        <f>IF(器具類損失水頭計算書!AO9=0,"",器具類損失水頭計算書!AO9)</f>
        <v/>
      </c>
      <c r="H55" s="107" t="str">
        <f>IF(器具類損失水頭計算書!AP9=0,"",器具類損失水頭計算書!AP9)</f>
        <v/>
      </c>
      <c r="I55" s="318" t="str">
        <f>IF(器具類損失水頭計算書!AQ9=0,"",器具類損失水頭計算書!AQ9)</f>
        <v/>
      </c>
      <c r="J55" s="318"/>
      <c r="K55" s="318" t="str">
        <f>IF(器具類損失水頭計算書!AR9=0,"",器具類損失水頭計算書!AR9)</f>
        <v/>
      </c>
      <c r="L55" s="319"/>
      <c r="M55" s="318" t="str">
        <f>IF(器具類損失水頭計算書!AS9=0,"",器具類損失水頭計算書!AS9)</f>
        <v/>
      </c>
      <c r="N55" s="318"/>
      <c r="O55" s="320" t="str">
        <f>IF(器具類損失水頭計算書!AT9=0,"-",器具類損失水頭計算書!AT9)</f>
        <v>-</v>
      </c>
      <c r="P55" s="321"/>
      <c r="Q55" s="89"/>
      <c r="R55" s="81"/>
      <c r="S55" s="10" t="s">
        <v>105</v>
      </c>
      <c r="T55" s="12" t="s">
        <v>458</v>
      </c>
      <c r="U55" s="81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 s="81"/>
      <c r="BJ55" s="303" t="s">
        <v>184</v>
      </c>
      <c r="BK55" s="303"/>
      <c r="BL55" s="102">
        <v>30</v>
      </c>
      <c r="BM55" s="101">
        <f>ROUND(BL55*0.0102,1)</f>
        <v>0.3</v>
      </c>
    </row>
    <row r="56" spans="1:65" ht="14.25" customHeight="1" x14ac:dyDescent="0.15">
      <c r="A56" s="76"/>
      <c r="D56" s="311" t="str">
        <f>IF(器具類損失水頭計算書!AN10=0,"",器具類損失水頭計算書!AN10)</f>
        <v/>
      </c>
      <c r="E56" s="312"/>
      <c r="F56" s="313"/>
      <c r="G56" s="106" t="str">
        <f>IF(器具類損失水頭計算書!AO10=0,"",器具類損失水頭計算書!AO10)</f>
        <v/>
      </c>
      <c r="H56" s="107" t="str">
        <f>IF(器具類損失水頭計算書!AP10=0,"",器具類損失水頭計算書!AP10)</f>
        <v/>
      </c>
      <c r="I56" s="318" t="str">
        <f>IF(器具類損失水頭計算書!AQ10=0,"",器具類損失水頭計算書!AQ10)</f>
        <v/>
      </c>
      <c r="J56" s="318"/>
      <c r="K56" s="318" t="str">
        <f>IF(器具類損失水頭計算書!AR10=0,"",器具類損失水頭計算書!AR10)</f>
        <v/>
      </c>
      <c r="L56" s="319"/>
      <c r="M56" s="318" t="str">
        <f>IF(器具類損失水頭計算書!AS10=0,"",器具類損失水頭計算書!AS10)</f>
        <v/>
      </c>
      <c r="N56" s="318"/>
      <c r="O56" s="320" t="str">
        <f>IF(器具類損失水頭計算書!AT10=0,"-",器具類損失水頭計算書!AT10)</f>
        <v>-</v>
      </c>
      <c r="P56" s="321"/>
      <c r="Q56" s="89"/>
      <c r="R56" s="81"/>
      <c r="S56" s="10" t="s">
        <v>106</v>
      </c>
      <c r="T56" s="12" t="s">
        <v>457</v>
      </c>
      <c r="U56" s="81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 s="81"/>
      <c r="BJ56" s="303" t="s">
        <v>185</v>
      </c>
      <c r="BK56" s="303"/>
      <c r="BL56" s="102">
        <v>70</v>
      </c>
      <c r="BM56" s="101">
        <f t="shared" ref="BM56:BM63" si="14">ROUND(BL56*0.0102,1)</f>
        <v>0.7</v>
      </c>
    </row>
    <row r="57" spans="1:65" ht="14.25" customHeight="1" x14ac:dyDescent="0.15">
      <c r="A57" s="76"/>
      <c r="D57" s="311" t="str">
        <f>IF(器具類損失水頭計算書!AN11=0,"",器具類損失水頭計算書!AN11)</f>
        <v/>
      </c>
      <c r="E57" s="312"/>
      <c r="F57" s="313"/>
      <c r="G57" s="106" t="str">
        <f>IF(器具類損失水頭計算書!AO11=0,"",器具類損失水頭計算書!AO11)</f>
        <v/>
      </c>
      <c r="H57" s="107" t="str">
        <f>IF(器具類損失水頭計算書!AP11=0,"",器具類損失水頭計算書!AP11)</f>
        <v/>
      </c>
      <c r="I57" s="318" t="str">
        <f>IF(器具類損失水頭計算書!AQ11=0,"",器具類損失水頭計算書!AQ11)</f>
        <v/>
      </c>
      <c r="J57" s="318"/>
      <c r="K57" s="318" t="str">
        <f>IF(器具類損失水頭計算書!AR11=0,"",器具類損失水頭計算書!AR11)</f>
        <v/>
      </c>
      <c r="L57" s="319"/>
      <c r="M57" s="318" t="str">
        <f>IF(器具類損失水頭計算書!AS11=0,"",器具類損失水頭計算書!AS11)</f>
        <v/>
      </c>
      <c r="N57" s="318"/>
      <c r="O57" s="320" t="str">
        <f>IF(器具類損失水頭計算書!AT11=0,"-",器具類損失水頭計算書!AT11)</f>
        <v>-</v>
      </c>
      <c r="P57" s="321"/>
      <c r="Q57" s="89"/>
      <c r="R57" s="81"/>
      <c r="S57" s="14" t="s">
        <v>107</v>
      </c>
      <c r="T57" s="159"/>
      <c r="U57" s="81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 s="81"/>
      <c r="BJ57" s="303" t="s">
        <v>187</v>
      </c>
      <c r="BK57" s="303"/>
      <c r="BL57" s="102">
        <v>30</v>
      </c>
      <c r="BM57" s="101">
        <f t="shared" si="14"/>
        <v>0.3</v>
      </c>
    </row>
    <row r="58" spans="1:65" ht="14.25" customHeight="1" x14ac:dyDescent="0.15">
      <c r="A58" s="76"/>
      <c r="D58" s="311" t="str">
        <f>IF(器具類損失水頭計算書!AN12=0,"",器具類損失水頭計算書!AN12)</f>
        <v/>
      </c>
      <c r="E58" s="312"/>
      <c r="F58" s="313"/>
      <c r="G58" s="106" t="str">
        <f>IF(器具類損失水頭計算書!AO12=0,"",器具類損失水頭計算書!AO12)</f>
        <v/>
      </c>
      <c r="H58" s="107" t="str">
        <f>IF(器具類損失水頭計算書!AP12=0,"",器具類損失水頭計算書!AP12)</f>
        <v/>
      </c>
      <c r="I58" s="318" t="str">
        <f>IF(器具類損失水頭計算書!AQ12=0,"",器具類損失水頭計算書!AQ12)</f>
        <v/>
      </c>
      <c r="J58" s="318"/>
      <c r="K58" s="318" t="str">
        <f>IF(器具類損失水頭計算書!AR12=0,"",器具類損失水頭計算書!AR12)</f>
        <v/>
      </c>
      <c r="L58" s="319"/>
      <c r="M58" s="318" t="str">
        <f>IF(器具類損失水頭計算書!AS12=0,"",器具類損失水頭計算書!AS12)</f>
        <v/>
      </c>
      <c r="N58" s="318"/>
      <c r="O58" s="320" t="str">
        <f>IF(器具類損失水頭計算書!AT12=0,"-",器具類損失水頭計算書!AT12)</f>
        <v>-</v>
      </c>
      <c r="P58" s="321"/>
      <c r="Q58" s="89"/>
      <c r="R58" s="81"/>
      <c r="S58" s="14" t="s">
        <v>170</v>
      </c>
      <c r="T58" s="13" t="s">
        <v>333</v>
      </c>
      <c r="U58" s="81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 s="81"/>
      <c r="BJ58" s="303" t="s">
        <v>186</v>
      </c>
      <c r="BK58" s="303"/>
      <c r="BL58" s="102">
        <v>70</v>
      </c>
      <c r="BM58" s="101">
        <f t="shared" si="14"/>
        <v>0.7</v>
      </c>
    </row>
    <row r="59" spans="1:65" ht="14.25" customHeight="1" x14ac:dyDescent="0.15">
      <c r="A59" s="76"/>
      <c r="D59" s="311" t="str">
        <f>IF(器具類損失水頭計算書!AN13=0,"",器具類損失水頭計算書!AN13)</f>
        <v/>
      </c>
      <c r="E59" s="312"/>
      <c r="F59" s="313"/>
      <c r="G59" s="106" t="str">
        <f>IF(器具類損失水頭計算書!AO13=0,"",器具類損失水頭計算書!AO13)</f>
        <v/>
      </c>
      <c r="H59" s="107" t="str">
        <f>IF(器具類損失水頭計算書!AP13=0,"",器具類損失水頭計算書!AP13)</f>
        <v/>
      </c>
      <c r="I59" s="318" t="str">
        <f>IF(器具類損失水頭計算書!AQ13=0,"",器具類損失水頭計算書!AQ13)</f>
        <v/>
      </c>
      <c r="J59" s="318"/>
      <c r="K59" s="318" t="str">
        <f>IF(器具類損失水頭計算書!AR13=0,"",器具類損失水頭計算書!AR13)</f>
        <v/>
      </c>
      <c r="L59" s="319"/>
      <c r="M59" s="318" t="str">
        <f>IF(器具類損失水頭計算書!AS13=0,"",器具類損失水頭計算書!AS13)</f>
        <v/>
      </c>
      <c r="N59" s="318"/>
      <c r="O59" s="320" t="str">
        <f>IF(器具類損失水頭計算書!AT13=0,"-",器具類損失水頭計算書!AT13)</f>
        <v>-</v>
      </c>
      <c r="P59" s="321"/>
      <c r="Q59" s="89"/>
      <c r="R59" s="81"/>
      <c r="S59" s="14" t="s">
        <v>171</v>
      </c>
      <c r="T59" s="12" t="s">
        <v>108</v>
      </c>
      <c r="U59" s="81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 s="81"/>
      <c r="BJ59" s="303" t="s">
        <v>332</v>
      </c>
      <c r="BK59" s="303"/>
      <c r="BL59" s="102">
        <v>70</v>
      </c>
      <c r="BM59" s="101">
        <f t="shared" si="14"/>
        <v>0.7</v>
      </c>
    </row>
    <row r="60" spans="1:65" ht="14.25" customHeight="1" x14ac:dyDescent="0.15">
      <c r="A60" s="76"/>
      <c r="D60" s="311" t="str">
        <f>IF(器具類損失水頭計算書!AN14=0,"",器具類損失水頭計算書!AN14)</f>
        <v/>
      </c>
      <c r="E60" s="312"/>
      <c r="F60" s="313"/>
      <c r="G60" s="106" t="str">
        <f>IF(器具類損失水頭計算書!AO14=0,"",器具類損失水頭計算書!AO14)</f>
        <v/>
      </c>
      <c r="H60" s="107" t="str">
        <f>IF(器具類損失水頭計算書!AP14=0,"",器具類損失水頭計算書!AP14)</f>
        <v/>
      </c>
      <c r="I60" s="318" t="str">
        <f>IF(器具類損失水頭計算書!AQ14=0,"",器具類損失水頭計算書!AQ14)</f>
        <v/>
      </c>
      <c r="J60" s="318"/>
      <c r="K60" s="318" t="str">
        <f>IF(器具類損失水頭計算書!AR14=0,"",器具類損失水頭計算書!AR14)</f>
        <v/>
      </c>
      <c r="L60" s="319"/>
      <c r="M60" s="318" t="str">
        <f>IF(器具類損失水頭計算書!AS14=0,"",器具類損失水頭計算書!AS14)</f>
        <v/>
      </c>
      <c r="N60" s="318"/>
      <c r="O60" s="320" t="str">
        <f>IF(器具類損失水頭計算書!AT14=0,"-",器具類損失水頭計算書!AT14)</f>
        <v>-</v>
      </c>
      <c r="P60" s="321"/>
      <c r="Q60" s="89"/>
      <c r="R60" s="81"/>
      <c r="S60" s="14" t="s">
        <v>172</v>
      </c>
      <c r="T60" s="12" t="s">
        <v>109</v>
      </c>
      <c r="U60" s="81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 s="81"/>
      <c r="BJ60" s="303" t="s">
        <v>188</v>
      </c>
      <c r="BK60" s="303"/>
      <c r="BL60" s="102"/>
      <c r="BM60" s="101">
        <f t="shared" si="14"/>
        <v>0</v>
      </c>
    </row>
    <row r="61" spans="1:65" ht="14.25" customHeight="1" x14ac:dyDescent="0.15">
      <c r="A61" s="76"/>
      <c r="D61" s="311" t="str">
        <f>IF(器具類損失水頭計算書!AN15=0,"",器具類損失水頭計算書!AN15)</f>
        <v/>
      </c>
      <c r="E61" s="312"/>
      <c r="F61" s="313"/>
      <c r="G61" s="106" t="str">
        <f>IF(器具類損失水頭計算書!AO15=0,"",器具類損失水頭計算書!AO15)</f>
        <v/>
      </c>
      <c r="H61" s="105" t="str">
        <f>IF(器具類損失水頭計算書!AP15=0,"",器具類損失水頭計算書!AP15)</f>
        <v/>
      </c>
      <c r="I61" s="314" t="str">
        <f>IF(器具類損失水頭計算書!AQ15=0,"",器具類損失水頭計算書!AQ15)</f>
        <v/>
      </c>
      <c r="J61" s="314"/>
      <c r="K61" s="314" t="str">
        <f>IF(器具類損失水頭計算書!AR15=0,"",器具類損失水頭計算書!AR15)</f>
        <v/>
      </c>
      <c r="L61" s="315"/>
      <c r="M61" s="314" t="str">
        <f>IF(器具類損失水頭計算書!AS15=0,"",器具類損失水頭計算書!AS15)</f>
        <v/>
      </c>
      <c r="N61" s="314"/>
      <c r="O61" s="316" t="str">
        <f>IF(器具類損失水頭計算書!AT15=0,"-",器具類損失水頭計算書!AT15)</f>
        <v>-</v>
      </c>
      <c r="P61" s="317"/>
      <c r="Q61" s="89"/>
      <c r="R61" s="81"/>
      <c r="S61" s="10" t="s">
        <v>178</v>
      </c>
      <c r="T61" s="12" t="s">
        <v>335</v>
      </c>
      <c r="U61" s="8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 s="81"/>
      <c r="BJ61" s="303" t="s">
        <v>189</v>
      </c>
      <c r="BK61" s="303"/>
      <c r="BL61" s="102">
        <v>40</v>
      </c>
      <c r="BM61" s="101">
        <f t="shared" si="14"/>
        <v>0.4</v>
      </c>
    </row>
    <row r="62" spans="1:65" ht="14.25" customHeight="1" x14ac:dyDescent="0.15">
      <c r="A62" s="76"/>
      <c r="B62" s="5"/>
      <c r="D62" s="304" t="s">
        <v>59</v>
      </c>
      <c r="E62" s="305"/>
      <c r="F62" s="306"/>
      <c r="G62" s="104">
        <f>器具類損失水頭計算書!H50</f>
        <v>0</v>
      </c>
      <c r="H62" s="249" t="str">
        <f>IF(器具類損失水頭計算書!AI15=0,"",器具類損失水頭計算書!AI15)</f>
        <v/>
      </c>
      <c r="I62" s="307" t="str">
        <f>IF(器具類損失水頭計算書!AJ15=0,"",器具類損失水頭計算書!AJ15)</f>
        <v/>
      </c>
      <c r="J62" s="307"/>
      <c r="K62" s="307" t="str">
        <f>IF(器具類損失水頭計算書!AK15=0,"",器具類損失水頭計算書!AK15)</f>
        <v/>
      </c>
      <c r="L62" s="308"/>
      <c r="M62" s="307">
        <f>器具類損失水頭計算書!L50</f>
        <v>0</v>
      </c>
      <c r="N62" s="307"/>
      <c r="O62" s="309" t="str">
        <f>IF(器具類損失水頭計算書!M50=0,"-",器具類損失水頭計算書!M50)</f>
        <v>-</v>
      </c>
      <c r="P62" s="310"/>
      <c r="Q62" s="89"/>
      <c r="R62" s="81"/>
      <c r="S62" s="10" t="s">
        <v>340</v>
      </c>
      <c r="T62" s="12" t="s">
        <v>110</v>
      </c>
      <c r="U62" s="81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 s="81"/>
      <c r="BJ62" s="303" t="s">
        <v>190</v>
      </c>
      <c r="BK62" s="303"/>
      <c r="BL62" s="102">
        <v>50</v>
      </c>
      <c r="BM62" s="101">
        <f t="shared" si="14"/>
        <v>0.5</v>
      </c>
    </row>
    <row r="63" spans="1:65" ht="14.25" customHeight="1" thickBot="1" x14ac:dyDescent="0.2">
      <c r="A63" s="76"/>
      <c r="D63" s="296" t="s">
        <v>60</v>
      </c>
      <c r="E63" s="297"/>
      <c r="F63" s="298"/>
      <c r="G63" s="103">
        <f>器具類損失水頭計算書!H78</f>
        <v>0</v>
      </c>
      <c r="H63" s="247" t="str">
        <f>IF(器具類損失水頭計算書!AI17=0,"",器具類損失水頭計算書!AI17)</f>
        <v/>
      </c>
      <c r="I63" s="299" t="str">
        <f>IF(器具類損失水頭計算書!AJ17=0,"",器具類損失水頭計算書!AJ17)</f>
        <v/>
      </c>
      <c r="J63" s="299"/>
      <c r="K63" s="299" t="str">
        <f>IF(器具類損失水頭計算書!AK17=0,"",器具類損失水頭計算書!AK17)</f>
        <v/>
      </c>
      <c r="L63" s="300"/>
      <c r="M63" s="299">
        <f>器具類損失水頭計算書!L78</f>
        <v>0</v>
      </c>
      <c r="N63" s="299"/>
      <c r="O63" s="301" t="str">
        <f>IF(器具類損失水頭計算書!M78=0,"-",器具類損失水頭計算書!M78)</f>
        <v>-</v>
      </c>
      <c r="P63" s="302"/>
      <c r="Q63" s="89"/>
      <c r="R63" s="81"/>
      <c r="T63" s="12" t="s">
        <v>336</v>
      </c>
      <c r="U63" s="81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 s="81"/>
      <c r="BJ63" s="303" t="s">
        <v>191</v>
      </c>
      <c r="BK63" s="303"/>
      <c r="BL63" s="102">
        <v>80</v>
      </c>
      <c r="BM63" s="101">
        <f t="shared" si="14"/>
        <v>0.8</v>
      </c>
    </row>
    <row r="64" spans="1:65" ht="14.25" customHeight="1" thickTop="1" x14ac:dyDescent="0.15">
      <c r="A64" s="76"/>
      <c r="D64" s="286" t="s">
        <v>14</v>
      </c>
      <c r="E64" s="287"/>
      <c r="F64" s="288"/>
      <c r="G64" s="100">
        <f>SUM(G52:G63)</f>
        <v>0</v>
      </c>
      <c r="H64" s="248"/>
      <c r="I64" s="289"/>
      <c r="J64" s="289"/>
      <c r="K64" s="290"/>
      <c r="L64" s="290"/>
      <c r="M64" s="291">
        <f>SUM(M52:N63)</f>
        <v>0</v>
      </c>
      <c r="N64" s="291"/>
      <c r="O64" s="292">
        <f>SUM(O52:P63)</f>
        <v>0</v>
      </c>
      <c r="P64" s="293"/>
      <c r="Q64" s="76"/>
      <c r="R64" s="81"/>
      <c r="S64" s="10"/>
      <c r="T64" s="12" t="s">
        <v>111</v>
      </c>
      <c r="U64" s="81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 s="81"/>
    </row>
    <row r="65" spans="1:61" ht="14.25" customHeight="1" x14ac:dyDescent="0.15">
      <c r="A65" s="76"/>
      <c r="D65" s="84" t="s">
        <v>9</v>
      </c>
      <c r="E65" s="99"/>
      <c r="K65" s="84"/>
      <c r="L65" s="84"/>
      <c r="Q65" s="89"/>
      <c r="R65" s="81"/>
      <c r="S65" s="160"/>
      <c r="T65" s="12" t="s">
        <v>112</v>
      </c>
      <c r="U65" s="81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 s="81"/>
    </row>
    <row r="66" spans="1:61" ht="14.25" customHeight="1" x14ac:dyDescent="0.15">
      <c r="A66" s="76"/>
      <c r="K66" s="84"/>
      <c r="M66" s="81"/>
      <c r="N66" s="81"/>
      <c r="O66" s="81"/>
      <c r="P66" s="81"/>
      <c r="Q66" s="89"/>
      <c r="R66" s="81"/>
      <c r="S66" s="10"/>
      <c r="T66" s="161" t="s">
        <v>90</v>
      </c>
      <c r="U66" s="81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 s="81"/>
    </row>
    <row r="67" spans="1:61" ht="14.25" customHeight="1" x14ac:dyDescent="0.15">
      <c r="A67" s="76"/>
      <c r="B67" s="5">
        <v>3</v>
      </c>
      <c r="C67" s="5" t="s">
        <v>6</v>
      </c>
      <c r="I67" s="90"/>
      <c r="J67" s="90"/>
      <c r="Q67" s="89"/>
      <c r="R67" s="81"/>
      <c r="S67" s="10"/>
      <c r="T67" s="13"/>
      <c r="U67" s="81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 s="81"/>
    </row>
    <row r="68" spans="1:61" ht="14.25" customHeight="1" x14ac:dyDescent="0.15">
      <c r="A68" s="76"/>
      <c r="C68" s="98" t="s">
        <v>324</v>
      </c>
      <c r="D68" s="97" t="s">
        <v>168</v>
      </c>
      <c r="E68" s="97"/>
      <c r="F68" s="97"/>
      <c r="G68" s="97"/>
      <c r="H68" s="97"/>
      <c r="I68" s="294">
        <f>O48</f>
        <v>0</v>
      </c>
      <c r="J68" s="295"/>
      <c r="Q68" s="89"/>
      <c r="R68" s="81"/>
      <c r="S68" s="14"/>
      <c r="T68" s="9"/>
      <c r="U68" s="81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 s="81"/>
    </row>
    <row r="69" spans="1:61" ht="14.25" customHeight="1" x14ac:dyDescent="0.15">
      <c r="A69" s="76"/>
      <c r="B69" s="5"/>
      <c r="C69" s="96" t="s">
        <v>329</v>
      </c>
      <c r="D69" s="95" t="s">
        <v>169</v>
      </c>
      <c r="E69" s="95"/>
      <c r="F69" s="95"/>
      <c r="G69" s="95"/>
      <c r="H69" s="95"/>
      <c r="I69" s="275">
        <f>O64</f>
        <v>0</v>
      </c>
      <c r="J69" s="276"/>
      <c r="Q69" s="89"/>
      <c r="R69" s="81"/>
      <c r="S69" s="14"/>
      <c r="T69" s="255"/>
      <c r="U69" s="81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 s="81"/>
    </row>
    <row r="70" spans="1:61" ht="14.25" customHeight="1" x14ac:dyDescent="0.15">
      <c r="A70" s="76"/>
      <c r="C70" s="96" t="s">
        <v>337</v>
      </c>
      <c r="D70" s="95" t="s">
        <v>27</v>
      </c>
      <c r="E70" s="95"/>
      <c r="F70" s="95"/>
      <c r="G70" s="95"/>
      <c r="H70" s="95"/>
      <c r="I70" s="275">
        <f>H15</f>
        <v>0</v>
      </c>
      <c r="J70" s="276"/>
      <c r="Q70" s="89"/>
      <c r="R70" s="81"/>
      <c r="S70" s="14"/>
      <c r="T70" s="255"/>
      <c r="U70" s="81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 s="81"/>
    </row>
    <row r="71" spans="1:61" ht="14.25" customHeight="1" thickBot="1" x14ac:dyDescent="0.2">
      <c r="A71" s="76"/>
      <c r="C71" s="94" t="s">
        <v>338</v>
      </c>
      <c r="D71" s="93" t="s">
        <v>332</v>
      </c>
      <c r="E71" s="93"/>
      <c r="F71" s="93"/>
      <c r="G71" s="93"/>
      <c r="H71" s="93"/>
      <c r="I71" s="277">
        <v>7</v>
      </c>
      <c r="J71" s="278"/>
      <c r="Q71" s="89"/>
      <c r="R71" s="81"/>
      <c r="S71" s="14"/>
      <c r="T71" s="255"/>
      <c r="U71" s="81"/>
      <c r="AE71" s="81"/>
      <c r="AO71" s="81"/>
      <c r="AP71" s="81"/>
      <c r="AQ71" s="81"/>
      <c r="AR71" s="81"/>
      <c r="AS71" s="81"/>
      <c r="AT71" s="81"/>
      <c r="AU71" s="81"/>
      <c r="AV71" s="81"/>
      <c r="AW71" s="81"/>
      <c r="AX71" s="81"/>
      <c r="AY71" s="81"/>
      <c r="AZ71" s="81"/>
      <c r="BA71" s="81"/>
      <c r="BB71" s="81"/>
      <c r="BC71" s="81"/>
      <c r="BD71" s="81"/>
      <c r="BE71" s="81"/>
      <c r="BF71" s="81"/>
      <c r="BG71" s="81"/>
      <c r="BH71" s="81"/>
      <c r="BI71" s="81"/>
    </row>
    <row r="72" spans="1:61" ht="14.25" customHeight="1" thickTop="1" x14ac:dyDescent="0.15">
      <c r="A72" s="76"/>
      <c r="C72" s="92"/>
      <c r="D72" s="91"/>
      <c r="E72" s="91"/>
      <c r="F72" s="90"/>
      <c r="G72" s="90"/>
      <c r="H72" s="90"/>
      <c r="I72" s="279">
        <f>SUM(I68:I71)</f>
        <v>7</v>
      </c>
      <c r="J72" s="280"/>
      <c r="Q72" s="89"/>
      <c r="R72" s="81"/>
      <c r="S72" s="10"/>
      <c r="T72" s="255"/>
      <c r="U72" s="81"/>
      <c r="AE72" s="81"/>
      <c r="AO72" s="81"/>
      <c r="AP72" s="81"/>
      <c r="AQ72" s="81"/>
      <c r="AR72" s="81"/>
      <c r="AS72" s="81"/>
      <c r="AT72" s="81"/>
      <c r="AU72" s="81"/>
      <c r="AV72" s="81"/>
      <c r="AW72" s="81"/>
      <c r="AX72" s="81"/>
      <c r="AY72" s="81"/>
      <c r="AZ72" s="81"/>
      <c r="BA72" s="81"/>
      <c r="BB72" s="81"/>
      <c r="BC72" s="81"/>
      <c r="BD72" s="81"/>
      <c r="BE72" s="81"/>
      <c r="BF72" s="81"/>
      <c r="BG72" s="81"/>
      <c r="BH72" s="81"/>
      <c r="BI72" s="81"/>
    </row>
    <row r="73" spans="1:61" ht="14.25" customHeight="1" x14ac:dyDescent="0.15">
      <c r="A73" s="76"/>
      <c r="B73" s="83"/>
      <c r="Q73" s="89"/>
      <c r="R73" s="81"/>
      <c r="S73" s="10"/>
      <c r="T73" s="255"/>
      <c r="U73" s="81"/>
      <c r="AE73" s="81"/>
      <c r="AO73" s="81"/>
      <c r="AP73" s="81"/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81"/>
      <c r="BB73" s="81"/>
      <c r="BC73" s="81"/>
      <c r="BD73" s="81"/>
      <c r="BE73" s="81"/>
      <c r="BF73" s="81"/>
      <c r="BG73" s="81"/>
      <c r="BH73" s="81"/>
      <c r="BI73" s="81"/>
    </row>
    <row r="74" spans="1:61" ht="14.25" customHeight="1" thickBot="1" x14ac:dyDescent="0.2">
      <c r="A74" s="76"/>
      <c r="B74" s="5">
        <v>4</v>
      </c>
      <c r="C74" s="5" t="s">
        <v>15</v>
      </c>
      <c r="Q74" s="76"/>
      <c r="R74" s="81"/>
      <c r="S74" s="14"/>
      <c r="T74" s="255"/>
      <c r="U74" s="81"/>
      <c r="AE74" s="81"/>
      <c r="AO74" s="81"/>
      <c r="AP74" s="81"/>
      <c r="AQ74" s="81"/>
      <c r="AR74" s="81"/>
      <c r="AS74" s="81"/>
      <c r="AT74" s="81"/>
      <c r="AU74" s="81"/>
      <c r="AV74" s="81"/>
      <c r="AW74" s="81"/>
      <c r="AX74" s="81"/>
      <c r="AY74" s="81"/>
      <c r="AZ74" s="81"/>
      <c r="BA74" s="81"/>
      <c r="BB74" s="81"/>
      <c r="BC74" s="81"/>
      <c r="BD74" s="81"/>
      <c r="BE74" s="81"/>
      <c r="BF74" s="81"/>
      <c r="BG74" s="81"/>
      <c r="BH74" s="81"/>
      <c r="BI74" s="81"/>
    </row>
    <row r="75" spans="1:61" ht="14.25" customHeight="1" x14ac:dyDescent="0.15">
      <c r="A75" s="76"/>
      <c r="D75" s="260" t="s">
        <v>8</v>
      </c>
      <c r="E75" s="281"/>
      <c r="F75" s="281"/>
      <c r="G75" s="261"/>
      <c r="H75" s="282" t="s">
        <v>339</v>
      </c>
      <c r="I75" s="283" t="s">
        <v>16</v>
      </c>
      <c r="J75" s="284"/>
      <c r="K75" s="285"/>
      <c r="M75" s="260" t="s">
        <v>7</v>
      </c>
      <c r="N75" s="261"/>
      <c r="Q75" s="76"/>
      <c r="R75" s="81"/>
      <c r="S75" s="255"/>
      <c r="U75" s="81"/>
      <c r="AE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  <c r="BE75" s="81"/>
      <c r="BF75" s="81"/>
      <c r="BG75" s="81"/>
      <c r="BH75" s="81"/>
      <c r="BI75" s="81"/>
    </row>
    <row r="76" spans="1:61" ht="14.25" customHeight="1" x14ac:dyDescent="0.15">
      <c r="A76" s="76"/>
      <c r="D76" s="262">
        <f>ROUND(D77*10/0.09807,0)</f>
        <v>20</v>
      </c>
      <c r="E76" s="263"/>
      <c r="F76" s="263"/>
      <c r="G76" s="264"/>
      <c r="H76" s="282"/>
      <c r="I76" s="265">
        <f>I72</f>
        <v>7</v>
      </c>
      <c r="J76" s="266"/>
      <c r="K76" s="267"/>
      <c r="M76" s="265">
        <f>D76-I76</f>
        <v>13</v>
      </c>
      <c r="N76" s="268"/>
      <c r="Q76" s="76"/>
      <c r="R76" s="81"/>
      <c r="S76" s="255"/>
      <c r="U76" s="81"/>
      <c r="AE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  <c r="BE76" s="81"/>
      <c r="BF76" s="81"/>
      <c r="BG76" s="81"/>
      <c r="BH76" s="81"/>
      <c r="BI76" s="81"/>
    </row>
    <row r="77" spans="1:61" ht="14.25" thickBot="1" x14ac:dyDescent="0.2">
      <c r="A77" s="76"/>
      <c r="D77" s="269">
        <f>N17</f>
        <v>0.2</v>
      </c>
      <c r="E77" s="270"/>
      <c r="F77" s="270"/>
      <c r="G77" s="271"/>
      <c r="H77" s="282"/>
      <c r="I77" s="272">
        <f>I76/10*0.09807</f>
        <v>6.8649000000000002E-2</v>
      </c>
      <c r="J77" s="273"/>
      <c r="K77" s="274"/>
      <c r="M77" s="272">
        <f>D77-I77</f>
        <v>0.131351</v>
      </c>
      <c r="N77" s="274"/>
      <c r="Q77" s="76"/>
      <c r="R77" s="81"/>
      <c r="U77" s="81"/>
      <c r="AE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1"/>
      <c r="BG77" s="81"/>
      <c r="BH77" s="81"/>
      <c r="BI77" s="81"/>
    </row>
    <row r="78" spans="1:61" x14ac:dyDescent="0.15">
      <c r="A78" s="76"/>
      <c r="B78" s="76"/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81"/>
      <c r="U78" s="81"/>
      <c r="AE78" s="81"/>
      <c r="AO78" s="81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1"/>
      <c r="BE78" s="81"/>
      <c r="BF78" s="81"/>
      <c r="BG78" s="81"/>
      <c r="BH78" s="81"/>
      <c r="BI78" s="81"/>
    </row>
    <row r="79" spans="1:61" x14ac:dyDescent="0.15">
      <c r="R79" s="81"/>
      <c r="U79" s="81"/>
      <c r="AE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1"/>
      <c r="BG79" s="81"/>
      <c r="BH79" s="81"/>
      <c r="BI79" s="81"/>
    </row>
    <row r="80" spans="1:61" x14ac:dyDescent="0.15">
      <c r="R80" s="81"/>
      <c r="U80" s="81"/>
      <c r="AE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1"/>
      <c r="BE80" s="81"/>
      <c r="BF80" s="81"/>
      <c r="BG80" s="81"/>
      <c r="BH80" s="81"/>
      <c r="BI80" s="81"/>
    </row>
    <row r="81" spans="10:61" x14ac:dyDescent="0.15">
      <c r="R81" s="81"/>
      <c r="U81" s="81"/>
      <c r="AE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  <c r="BE81" s="81"/>
      <c r="BF81" s="81"/>
      <c r="BG81" s="81"/>
      <c r="BH81" s="81"/>
      <c r="BI81" s="81"/>
    </row>
    <row r="82" spans="10:61" x14ac:dyDescent="0.15">
      <c r="R82" s="81"/>
      <c r="U82" s="81"/>
      <c r="AE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1"/>
      <c r="BG82" s="81"/>
      <c r="BH82" s="81"/>
      <c r="BI82" s="81"/>
    </row>
    <row r="83" spans="10:61" x14ac:dyDescent="0.15">
      <c r="J83" s="83"/>
      <c r="R83" s="81"/>
      <c r="U83" s="81"/>
      <c r="AE83" s="81"/>
      <c r="AO83" s="81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81"/>
      <c r="BB83" s="81"/>
      <c r="BC83" s="81"/>
      <c r="BD83" s="81"/>
      <c r="BE83" s="81"/>
      <c r="BF83" s="81"/>
      <c r="BG83" s="81"/>
      <c r="BH83" s="81"/>
      <c r="BI83" s="81"/>
    </row>
    <row r="84" spans="10:61" x14ac:dyDescent="0.15">
      <c r="R84" s="81"/>
      <c r="U84" s="81"/>
      <c r="AE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1"/>
      <c r="BG84" s="81"/>
      <c r="BH84" s="81"/>
      <c r="BI84" s="81"/>
    </row>
    <row r="85" spans="10:61" x14ac:dyDescent="0.15">
      <c r="R85" s="81"/>
      <c r="U85" s="81"/>
      <c r="AE85" s="81"/>
      <c r="AO85" s="81"/>
      <c r="AP85" s="81"/>
      <c r="AQ85" s="81"/>
      <c r="AR85" s="81"/>
      <c r="AS85" s="81"/>
      <c r="AT85" s="81"/>
      <c r="AU85" s="81"/>
      <c r="AV85" s="81"/>
      <c r="AW85" s="81"/>
      <c r="AX85" s="81"/>
      <c r="AY85" s="81"/>
      <c r="AZ85" s="81"/>
      <c r="BA85" s="81"/>
      <c r="BB85" s="81"/>
      <c r="BC85" s="81"/>
      <c r="BD85" s="81"/>
      <c r="BE85" s="81"/>
      <c r="BF85" s="81"/>
      <c r="BG85" s="81"/>
      <c r="BH85" s="81"/>
      <c r="BI85" s="81"/>
    </row>
    <row r="86" spans="10:61" ht="14.25" customHeight="1" x14ac:dyDescent="0.15">
      <c r="R86" s="81"/>
      <c r="U86" s="81"/>
      <c r="AE86" s="81"/>
      <c r="AO86" s="81"/>
      <c r="AP86" s="81"/>
      <c r="AQ86" s="81"/>
      <c r="AR86" s="81"/>
      <c r="AS86" s="81"/>
      <c r="AT86" s="81"/>
      <c r="AU86" s="81"/>
      <c r="AV86" s="81"/>
      <c r="AW86" s="81"/>
      <c r="AX86" s="81"/>
      <c r="AY86" s="81"/>
      <c r="AZ86" s="81"/>
      <c r="BA86" s="81"/>
      <c r="BB86" s="81"/>
      <c r="BC86" s="81"/>
      <c r="BD86" s="81"/>
      <c r="BE86" s="81"/>
      <c r="BF86" s="81"/>
      <c r="BG86" s="81"/>
      <c r="BH86" s="81"/>
      <c r="BI86" s="81"/>
    </row>
    <row r="87" spans="10:61" x14ac:dyDescent="0.15">
      <c r="R87" s="81"/>
      <c r="U87" s="81"/>
      <c r="AE87" s="81"/>
      <c r="AO87" s="81"/>
      <c r="AP87" s="81"/>
      <c r="AQ87" s="81"/>
      <c r="AR87" s="81"/>
      <c r="AS87" s="81"/>
      <c r="AT87" s="81"/>
      <c r="AU87" s="81"/>
      <c r="AV87" s="81"/>
      <c r="AW87" s="81"/>
      <c r="AX87" s="81"/>
      <c r="AY87" s="81"/>
      <c r="AZ87" s="81"/>
      <c r="BA87" s="81"/>
      <c r="BB87" s="81"/>
      <c r="BC87" s="81"/>
      <c r="BD87" s="81"/>
      <c r="BE87" s="81"/>
      <c r="BF87" s="81"/>
      <c r="BG87" s="81"/>
      <c r="BH87" s="81"/>
      <c r="BI87" s="81"/>
    </row>
    <row r="88" spans="10:61" x14ac:dyDescent="0.15">
      <c r="R88" s="81"/>
      <c r="U88" s="81"/>
      <c r="AE88" s="81"/>
      <c r="AO88" s="81"/>
      <c r="AP88" s="81"/>
      <c r="AQ88" s="81"/>
      <c r="AR88" s="81"/>
      <c r="AS88" s="81"/>
      <c r="AT88" s="81"/>
      <c r="AU88" s="81"/>
      <c r="AV88" s="81"/>
      <c r="AW88" s="81"/>
      <c r="AX88" s="81"/>
      <c r="AY88" s="81"/>
      <c r="AZ88" s="81"/>
      <c r="BA88" s="81"/>
      <c r="BB88" s="81"/>
      <c r="BC88" s="81"/>
      <c r="BD88" s="81"/>
      <c r="BE88" s="81"/>
      <c r="BF88" s="81"/>
      <c r="BG88" s="81"/>
      <c r="BH88" s="81"/>
      <c r="BI88" s="81"/>
    </row>
    <row r="89" spans="10:61" x14ac:dyDescent="0.15">
      <c r="R89" s="81"/>
      <c r="U89" s="81"/>
      <c r="AE89" s="81"/>
      <c r="AO89" s="81"/>
      <c r="AP89" s="81"/>
      <c r="AQ89" s="81"/>
      <c r="AR89" s="81"/>
      <c r="AS89" s="81"/>
      <c r="AT89" s="81"/>
      <c r="AU89" s="81"/>
      <c r="AV89" s="81"/>
      <c r="AW89" s="81"/>
      <c r="AX89" s="81"/>
      <c r="AY89" s="81"/>
      <c r="AZ89" s="81"/>
      <c r="BA89" s="81"/>
      <c r="BB89" s="81"/>
      <c r="BC89" s="81"/>
      <c r="BD89" s="81"/>
      <c r="BE89" s="81"/>
      <c r="BF89" s="81"/>
      <c r="BG89" s="81"/>
      <c r="BH89" s="81"/>
      <c r="BI89" s="81"/>
    </row>
    <row r="90" spans="10:61" x14ac:dyDescent="0.15">
      <c r="R90" s="81"/>
      <c r="U90" s="81"/>
      <c r="AE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1"/>
      <c r="BG90" s="81"/>
      <c r="BH90" s="81"/>
      <c r="BI90" s="81"/>
    </row>
    <row r="91" spans="10:61" x14ac:dyDescent="0.15">
      <c r="R91" s="81"/>
      <c r="U91" s="81"/>
      <c r="AE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  <c r="BB91" s="81"/>
      <c r="BC91" s="81"/>
      <c r="BD91" s="81"/>
      <c r="BE91" s="81"/>
      <c r="BF91" s="81"/>
      <c r="BG91" s="81"/>
      <c r="BH91" s="81"/>
      <c r="BI91" s="81"/>
    </row>
    <row r="92" spans="10:61" x14ac:dyDescent="0.15">
      <c r="R92" s="81"/>
      <c r="U92" s="81"/>
      <c r="AE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1"/>
      <c r="BE92" s="81"/>
      <c r="BF92" s="81"/>
      <c r="BG92" s="81"/>
      <c r="BH92" s="81"/>
      <c r="BI92" s="81"/>
    </row>
    <row r="93" spans="10:61" x14ac:dyDescent="0.15">
      <c r="R93" s="81"/>
      <c r="U93" s="81"/>
      <c r="AE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1"/>
      <c r="BE93" s="81"/>
      <c r="BF93" s="81"/>
      <c r="BG93" s="81"/>
      <c r="BH93" s="81"/>
      <c r="BI93" s="81"/>
    </row>
    <row r="94" spans="10:61" x14ac:dyDescent="0.15">
      <c r="R94" s="81"/>
      <c r="U94" s="81"/>
      <c r="AE94" s="81"/>
      <c r="AO94" s="81"/>
      <c r="AP94" s="81"/>
      <c r="AQ94" s="81"/>
      <c r="AR94" s="81"/>
      <c r="AS94" s="81"/>
      <c r="AT94" s="81"/>
      <c r="AU94" s="81"/>
      <c r="AV94" s="81"/>
      <c r="AW94" s="81"/>
      <c r="AX94" s="81"/>
      <c r="AY94" s="81"/>
      <c r="AZ94" s="81"/>
      <c r="BA94" s="81"/>
      <c r="BB94" s="81"/>
      <c r="BC94" s="81"/>
      <c r="BD94" s="81"/>
      <c r="BE94" s="81"/>
      <c r="BF94" s="81"/>
      <c r="BG94" s="81"/>
      <c r="BH94" s="81"/>
      <c r="BI94" s="81"/>
    </row>
    <row r="95" spans="10:61" x14ac:dyDescent="0.15">
      <c r="R95" s="81"/>
      <c r="U95" s="81"/>
      <c r="AE95" s="81"/>
      <c r="AO95" s="81"/>
      <c r="AP95" s="81"/>
      <c r="AQ95" s="81"/>
      <c r="AR95" s="81"/>
      <c r="AS95" s="81"/>
      <c r="AT95" s="81"/>
      <c r="AU95" s="81"/>
      <c r="AV95" s="81"/>
      <c r="AW95" s="81"/>
      <c r="AX95" s="81"/>
      <c r="AY95" s="81"/>
      <c r="AZ95" s="81"/>
      <c r="BA95" s="81"/>
      <c r="BB95" s="81"/>
      <c r="BC95" s="81"/>
      <c r="BD95" s="81"/>
      <c r="BE95" s="81"/>
      <c r="BF95" s="81"/>
      <c r="BG95" s="81"/>
      <c r="BH95" s="81"/>
      <c r="BI95" s="81"/>
    </row>
    <row r="96" spans="10:61" x14ac:dyDescent="0.15">
      <c r="R96" s="81"/>
      <c r="U96" s="81"/>
      <c r="AE96" s="81"/>
      <c r="AO96" s="81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/>
      <c r="BC96" s="81"/>
      <c r="BD96" s="81"/>
      <c r="BE96" s="81"/>
      <c r="BF96" s="81"/>
      <c r="BG96" s="81"/>
      <c r="BH96" s="81"/>
      <c r="BI96" s="81"/>
    </row>
    <row r="97" spans="18:61" x14ac:dyDescent="0.15">
      <c r="R97" s="81"/>
      <c r="U97" s="81"/>
      <c r="AE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</row>
    <row r="98" spans="18:61" x14ac:dyDescent="0.15">
      <c r="R98" s="81"/>
      <c r="U98" s="81"/>
      <c r="AE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  <c r="BE98" s="81"/>
      <c r="BF98" s="81"/>
      <c r="BG98" s="81"/>
      <c r="BH98" s="81"/>
      <c r="BI98" s="81"/>
    </row>
    <row r="99" spans="18:61" x14ac:dyDescent="0.15">
      <c r="R99" s="81"/>
      <c r="U99" s="81"/>
      <c r="AE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</row>
    <row r="100" spans="18:61" x14ac:dyDescent="0.15">
      <c r="R100" s="81"/>
      <c r="U100" s="81"/>
      <c r="AE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1"/>
      <c r="BE100" s="81"/>
      <c r="BF100" s="81"/>
      <c r="BG100" s="81"/>
      <c r="BH100" s="81"/>
      <c r="BI100" s="81"/>
    </row>
  </sheetData>
  <mergeCells count="271">
    <mergeCell ref="C5:F5"/>
    <mergeCell ref="G5:O5"/>
    <mergeCell ref="W5:Y5"/>
    <mergeCell ref="AG5:AI5"/>
    <mergeCell ref="AQ5:AS5"/>
    <mergeCell ref="BA5:BC5"/>
    <mergeCell ref="C2:P2"/>
    <mergeCell ref="N3:P3"/>
    <mergeCell ref="C4:F4"/>
    <mergeCell ref="G4:M4"/>
    <mergeCell ref="N4:O4"/>
    <mergeCell ref="S4:T4"/>
    <mergeCell ref="K8:L8"/>
    <mergeCell ref="M8:N8"/>
    <mergeCell ref="C6:F6"/>
    <mergeCell ref="G6:J6"/>
    <mergeCell ref="K6:L6"/>
    <mergeCell ref="M6:N6"/>
    <mergeCell ref="C7:F7"/>
    <mergeCell ref="G7:J7"/>
    <mergeCell ref="K7:L7"/>
    <mergeCell ref="M7:N7"/>
    <mergeCell ref="C12:D12"/>
    <mergeCell ref="E12:G12"/>
    <mergeCell ref="K12:L12"/>
    <mergeCell ref="M12:O12"/>
    <mergeCell ref="C13:D13"/>
    <mergeCell ref="E13:G13"/>
    <mergeCell ref="K13:L13"/>
    <mergeCell ref="M13:O13"/>
    <mergeCell ref="K11:L11"/>
    <mergeCell ref="M11:O11"/>
    <mergeCell ref="BJ21:BM21"/>
    <mergeCell ref="BN21:BQ21"/>
    <mergeCell ref="D22:F22"/>
    <mergeCell ref="G22:H22"/>
    <mergeCell ref="I22:J22"/>
    <mergeCell ref="K22:L22"/>
    <mergeCell ref="M22:N22"/>
    <mergeCell ref="O22:P22"/>
    <mergeCell ref="K14:L14"/>
    <mergeCell ref="M14:O14"/>
    <mergeCell ref="C15:G15"/>
    <mergeCell ref="C16:G16"/>
    <mergeCell ref="C17:G17"/>
    <mergeCell ref="L17:M17"/>
    <mergeCell ref="N17:O17"/>
    <mergeCell ref="G23:H23"/>
    <mergeCell ref="I23:J23"/>
    <mergeCell ref="K23:L23"/>
    <mergeCell ref="M23:N23"/>
    <mergeCell ref="O23:P23"/>
    <mergeCell ref="G24:H24"/>
    <mergeCell ref="I24:J24"/>
    <mergeCell ref="K24:L24"/>
    <mergeCell ref="M24:N24"/>
    <mergeCell ref="O24:P24"/>
    <mergeCell ref="G25:H25"/>
    <mergeCell ref="I25:J25"/>
    <mergeCell ref="K25:L25"/>
    <mergeCell ref="M25:N25"/>
    <mergeCell ref="O25:P25"/>
    <mergeCell ref="G26:H26"/>
    <mergeCell ref="I26:J26"/>
    <mergeCell ref="K26:L26"/>
    <mergeCell ref="M26:N26"/>
    <mergeCell ref="O26:P26"/>
    <mergeCell ref="G27:H27"/>
    <mergeCell ref="I27:J27"/>
    <mergeCell ref="K27:L27"/>
    <mergeCell ref="M27:N27"/>
    <mergeCell ref="O27:P27"/>
    <mergeCell ref="G28:H28"/>
    <mergeCell ref="I28:J28"/>
    <mergeCell ref="K28:L28"/>
    <mergeCell ref="M28:N28"/>
    <mergeCell ref="O28:P28"/>
    <mergeCell ref="G29:H29"/>
    <mergeCell ref="I29:J29"/>
    <mergeCell ref="K29:L29"/>
    <mergeCell ref="M29:N29"/>
    <mergeCell ref="O29:P29"/>
    <mergeCell ref="G30:H30"/>
    <mergeCell ref="I30:J30"/>
    <mergeCell ref="K30:L30"/>
    <mergeCell ref="M30:N30"/>
    <mergeCell ref="O30:P30"/>
    <mergeCell ref="G31:H31"/>
    <mergeCell ref="I31:J31"/>
    <mergeCell ref="K31:L31"/>
    <mergeCell ref="M31:N31"/>
    <mergeCell ref="O31:P31"/>
    <mergeCell ref="G32:H32"/>
    <mergeCell ref="I32:J32"/>
    <mergeCell ref="K32:L32"/>
    <mergeCell ref="M32:N32"/>
    <mergeCell ref="O32:P32"/>
    <mergeCell ref="G33:H33"/>
    <mergeCell ref="I33:J33"/>
    <mergeCell ref="K33:L33"/>
    <mergeCell ref="M33:N33"/>
    <mergeCell ref="O33:P33"/>
    <mergeCell ref="G34:H34"/>
    <mergeCell ref="I34:J34"/>
    <mergeCell ref="K34:L34"/>
    <mergeCell ref="M34:N34"/>
    <mergeCell ref="O34:P34"/>
    <mergeCell ref="G35:H35"/>
    <mergeCell ref="I35:J35"/>
    <mergeCell ref="K35:L35"/>
    <mergeCell ref="M35:N35"/>
    <mergeCell ref="O35:P35"/>
    <mergeCell ref="G36:H36"/>
    <mergeCell ref="I36:J36"/>
    <mergeCell ref="K36:L36"/>
    <mergeCell ref="M36:N36"/>
    <mergeCell ref="O36:P36"/>
    <mergeCell ref="G37:H37"/>
    <mergeCell ref="I37:J37"/>
    <mergeCell ref="K37:L37"/>
    <mergeCell ref="M37:N37"/>
    <mergeCell ref="O37:P37"/>
    <mergeCell ref="G38:H38"/>
    <mergeCell ref="I38:J38"/>
    <mergeCell ref="K38:L38"/>
    <mergeCell ref="M38:N38"/>
    <mergeCell ref="O38:P38"/>
    <mergeCell ref="G39:H39"/>
    <mergeCell ref="I39:J39"/>
    <mergeCell ref="K39:L39"/>
    <mergeCell ref="M39:N39"/>
    <mergeCell ref="O39:P39"/>
    <mergeCell ref="G40:H40"/>
    <mergeCell ref="I40:J40"/>
    <mergeCell ref="K40:L40"/>
    <mergeCell ref="M40:N40"/>
    <mergeCell ref="O40:P40"/>
    <mergeCell ref="G41:H41"/>
    <mergeCell ref="I41:J41"/>
    <mergeCell ref="K41:L41"/>
    <mergeCell ref="M41:N41"/>
    <mergeCell ref="O41:P41"/>
    <mergeCell ref="G42:H42"/>
    <mergeCell ref="I42:J42"/>
    <mergeCell ref="K42:L42"/>
    <mergeCell ref="M42:N42"/>
    <mergeCell ref="O42:P42"/>
    <mergeCell ref="G43:H43"/>
    <mergeCell ref="I43:J43"/>
    <mergeCell ref="K43:L43"/>
    <mergeCell ref="M43:N43"/>
    <mergeCell ref="O43:P43"/>
    <mergeCell ref="G44:H44"/>
    <mergeCell ref="I44:J44"/>
    <mergeCell ref="K44:L44"/>
    <mergeCell ref="M44:N44"/>
    <mergeCell ref="O44:P44"/>
    <mergeCell ref="G45:H45"/>
    <mergeCell ref="I45:J45"/>
    <mergeCell ref="K45:L45"/>
    <mergeCell ref="M45:N45"/>
    <mergeCell ref="O45:P45"/>
    <mergeCell ref="G46:H46"/>
    <mergeCell ref="I46:J46"/>
    <mergeCell ref="K46:L46"/>
    <mergeCell ref="M46:N46"/>
    <mergeCell ref="O46:P46"/>
    <mergeCell ref="G47:H47"/>
    <mergeCell ref="I47:J47"/>
    <mergeCell ref="K47:L47"/>
    <mergeCell ref="M47:N47"/>
    <mergeCell ref="O47:P47"/>
    <mergeCell ref="D48:F48"/>
    <mergeCell ref="G48:H48"/>
    <mergeCell ref="I48:J48"/>
    <mergeCell ref="K48:L48"/>
    <mergeCell ref="M48:N48"/>
    <mergeCell ref="O48:P48"/>
    <mergeCell ref="I51:J51"/>
    <mergeCell ref="K51:L51"/>
    <mergeCell ref="M51:N51"/>
    <mergeCell ref="O51:P51"/>
    <mergeCell ref="D52:F52"/>
    <mergeCell ref="I52:J52"/>
    <mergeCell ref="K52:L52"/>
    <mergeCell ref="M52:N52"/>
    <mergeCell ref="O52:P52"/>
    <mergeCell ref="D53:F53"/>
    <mergeCell ref="I53:J53"/>
    <mergeCell ref="K53:L53"/>
    <mergeCell ref="M53:N53"/>
    <mergeCell ref="O53:P53"/>
    <mergeCell ref="D54:F54"/>
    <mergeCell ref="I54:J54"/>
    <mergeCell ref="K54:L54"/>
    <mergeCell ref="M54:N54"/>
    <mergeCell ref="O54:P54"/>
    <mergeCell ref="D56:F56"/>
    <mergeCell ref="I56:J56"/>
    <mergeCell ref="K56:L56"/>
    <mergeCell ref="M56:N56"/>
    <mergeCell ref="O56:P56"/>
    <mergeCell ref="BJ56:BK56"/>
    <mergeCell ref="D55:F55"/>
    <mergeCell ref="I55:J55"/>
    <mergeCell ref="K55:L55"/>
    <mergeCell ref="M55:N55"/>
    <mergeCell ref="O55:P55"/>
    <mergeCell ref="BJ55:BK55"/>
    <mergeCell ref="D58:F58"/>
    <mergeCell ref="I58:J58"/>
    <mergeCell ref="K58:L58"/>
    <mergeCell ref="M58:N58"/>
    <mergeCell ref="O58:P58"/>
    <mergeCell ref="BJ58:BK58"/>
    <mergeCell ref="D57:F57"/>
    <mergeCell ref="I57:J57"/>
    <mergeCell ref="K57:L57"/>
    <mergeCell ref="M57:N57"/>
    <mergeCell ref="O57:P57"/>
    <mergeCell ref="BJ57:BK57"/>
    <mergeCell ref="D60:F60"/>
    <mergeCell ref="I60:J60"/>
    <mergeCell ref="K60:L60"/>
    <mergeCell ref="M60:N60"/>
    <mergeCell ref="O60:P60"/>
    <mergeCell ref="BJ60:BK60"/>
    <mergeCell ref="D59:F59"/>
    <mergeCell ref="I59:J59"/>
    <mergeCell ref="K59:L59"/>
    <mergeCell ref="M59:N59"/>
    <mergeCell ref="O59:P59"/>
    <mergeCell ref="BJ59:BK59"/>
    <mergeCell ref="BJ63:BK63"/>
    <mergeCell ref="D62:F62"/>
    <mergeCell ref="I62:J62"/>
    <mergeCell ref="K62:L62"/>
    <mergeCell ref="M62:N62"/>
    <mergeCell ref="O62:P62"/>
    <mergeCell ref="BJ62:BK62"/>
    <mergeCell ref="D61:F61"/>
    <mergeCell ref="I61:J61"/>
    <mergeCell ref="K61:L61"/>
    <mergeCell ref="M61:N61"/>
    <mergeCell ref="O61:P61"/>
    <mergeCell ref="BJ61:BK61"/>
    <mergeCell ref="D64:F64"/>
    <mergeCell ref="I64:J64"/>
    <mergeCell ref="K64:L64"/>
    <mergeCell ref="M64:N64"/>
    <mergeCell ref="O64:P64"/>
    <mergeCell ref="I68:J68"/>
    <mergeCell ref="D63:F63"/>
    <mergeCell ref="I63:J63"/>
    <mergeCell ref="K63:L63"/>
    <mergeCell ref="M63:N63"/>
    <mergeCell ref="O63:P63"/>
    <mergeCell ref="M75:N75"/>
    <mergeCell ref="D76:G76"/>
    <mergeCell ref="I76:K76"/>
    <mergeCell ref="M76:N76"/>
    <mergeCell ref="D77:G77"/>
    <mergeCell ref="I77:K77"/>
    <mergeCell ref="M77:N77"/>
    <mergeCell ref="I69:J69"/>
    <mergeCell ref="I70:J70"/>
    <mergeCell ref="I71:J71"/>
    <mergeCell ref="I72:J72"/>
    <mergeCell ref="D75:G75"/>
    <mergeCell ref="H75:H77"/>
    <mergeCell ref="I75:K75"/>
  </mergeCells>
  <phoneticPr fontId="2"/>
  <conditionalFormatting sqref="Z10:Z69 AJ10:AJ69 AT10:AT69 BD10:BD69">
    <cfRule type="cellIs" dxfId="0" priority="1" stopIfTrue="1" operator="greaterThan">
      <formula>2</formula>
    </cfRule>
  </conditionalFormatting>
  <dataValidations count="2">
    <dataValidation type="list" allowBlank="1" showInputMessage="1" showErrorMessage="1" sqref="N17:O17">
      <formula1>$BJ$51:$BJ$52</formula1>
    </dataValidation>
    <dataValidation type="list" allowBlank="1" showInputMessage="1" showErrorMessage="1" sqref="G23:G47 H23:H36">
      <formula1>$BJ$7:$BJ$18</formula1>
    </dataValidation>
  </dataValidations>
  <printOptions horizontalCentered="1" verticalCentered="1"/>
  <pageMargins left="0.54" right="0.56999999999999995" top="0.51" bottom="0.67" header="0.31496062992125984" footer="0.33"/>
  <pageSetup paperSize="9" scale="74" orientation="portrait" horizontalDpi="300" verticalDpi="300" r:id="rId1"/>
  <headerFooter alignWithMargins="0">
    <oddFooter>&amp;C&amp;"ＭＳ Ｐゴシック,太字"1　&amp;"ＭＳ Ｐゴシック,標準" &amp;R(Ver4.0)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122"/>
  <sheetViews>
    <sheetView showZeros="0" zoomScaleNormal="100" workbookViewId="0">
      <selection activeCell="I58" sqref="I58"/>
    </sheetView>
  </sheetViews>
  <sheetFormatPr defaultColWidth="9" defaultRowHeight="13.5" x14ac:dyDescent="0.15"/>
  <cols>
    <col min="1" max="1" width="1.75" style="77" customWidth="1"/>
    <col min="2" max="2" width="2.875" style="77" customWidth="1"/>
    <col min="3" max="3" width="17.125" style="77" customWidth="1"/>
    <col min="4" max="4" width="4.875" style="77" hidden="1" customWidth="1"/>
    <col min="5" max="7" width="5.375" style="77" customWidth="1"/>
    <col min="8" max="8" width="6.125" style="77" customWidth="1"/>
    <col min="9" max="13" width="10.625" style="77" customWidth="1"/>
    <col min="14" max="14" width="2" style="77" customWidth="1"/>
    <col min="15" max="15" width="2.25" style="77" customWidth="1"/>
    <col min="16" max="16" width="28.875" style="8" customWidth="1"/>
    <col min="17" max="17" width="2.25" style="77" customWidth="1"/>
    <col min="18" max="25" width="10.125" style="77" customWidth="1"/>
    <col min="26" max="26" width="3.5" style="77" customWidth="1"/>
    <col min="27" max="36" width="13.125" style="77" customWidth="1"/>
    <col min="37" max="37" width="3.625" style="77" customWidth="1"/>
    <col min="38" max="38" width="4.875" style="77" customWidth="1"/>
    <col min="39" max="39" width="10.125" style="77" customWidth="1"/>
    <col min="40" max="40" width="11.125" style="77" customWidth="1"/>
    <col min="41" max="41" width="6" style="77" customWidth="1"/>
    <col min="42" max="45" width="9" style="77" customWidth="1"/>
    <col min="46" max="46" width="11" style="77" customWidth="1"/>
    <col min="47" max="16384" width="9" style="77"/>
  </cols>
  <sheetData>
    <row r="1" spans="1:47" x14ac:dyDescent="0.15">
      <c r="A1" s="76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P1" s="78"/>
    </row>
    <row r="2" spans="1:47" ht="23.25" customHeight="1" x14ac:dyDescent="0.15">
      <c r="A2" s="76"/>
      <c r="B2" s="79"/>
      <c r="C2" s="406" t="s">
        <v>50</v>
      </c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80"/>
      <c r="P2" s="9"/>
    </row>
    <row r="3" spans="1:47" ht="14.25" customHeight="1" thickBot="1" x14ac:dyDescent="0.2">
      <c r="A3" s="76"/>
      <c r="L3" s="28"/>
      <c r="M3" s="28"/>
      <c r="N3" s="76"/>
      <c r="P3" s="9"/>
    </row>
    <row r="4" spans="1:47" ht="14.25" customHeight="1" thickBot="1" x14ac:dyDescent="0.2">
      <c r="A4" s="76"/>
      <c r="E4" s="77" t="s">
        <v>180</v>
      </c>
      <c r="N4" s="89"/>
      <c r="P4" s="15" t="s">
        <v>113</v>
      </c>
      <c r="R4" s="362" t="s">
        <v>142</v>
      </c>
      <c r="S4" s="363"/>
      <c r="T4" s="363"/>
      <c r="U4" s="412"/>
      <c r="V4" s="365" t="s">
        <v>143</v>
      </c>
      <c r="W4" s="366"/>
      <c r="X4" s="366"/>
      <c r="Y4" s="364"/>
      <c r="AL4" s="77" t="s">
        <v>58</v>
      </c>
    </row>
    <row r="5" spans="1:47" ht="14.25" customHeight="1" x14ac:dyDescent="0.15">
      <c r="A5" s="76"/>
      <c r="C5" s="427" t="s">
        <v>55</v>
      </c>
      <c r="D5" s="244"/>
      <c r="E5" s="416" t="s">
        <v>56</v>
      </c>
      <c r="F5" s="430"/>
      <c r="G5" s="431"/>
      <c r="H5" s="213" t="s">
        <v>33</v>
      </c>
      <c r="I5" s="213" t="s">
        <v>34</v>
      </c>
      <c r="J5" s="213" t="s">
        <v>52</v>
      </c>
      <c r="K5" s="213" t="s">
        <v>1</v>
      </c>
      <c r="L5" s="213" t="s">
        <v>0</v>
      </c>
      <c r="M5" s="213" t="s">
        <v>54</v>
      </c>
      <c r="N5" s="89"/>
      <c r="P5" s="9"/>
      <c r="R5" s="212" t="s">
        <v>25</v>
      </c>
      <c r="S5" s="211" t="s">
        <v>26</v>
      </c>
      <c r="T5" s="210" t="s">
        <v>322</v>
      </c>
      <c r="U5" s="134" t="s">
        <v>1</v>
      </c>
      <c r="V5" s="212" t="s">
        <v>25</v>
      </c>
      <c r="W5" s="211" t="s">
        <v>26</v>
      </c>
      <c r="X5" s="210" t="s">
        <v>322</v>
      </c>
      <c r="Y5" s="134" t="s">
        <v>1</v>
      </c>
      <c r="AA5" s="77" t="s">
        <v>24</v>
      </c>
      <c r="AC5" s="156" t="s">
        <v>140</v>
      </c>
      <c r="AL5" s="243" t="s">
        <v>323</v>
      </c>
      <c r="AM5" s="243" t="s">
        <v>57</v>
      </c>
      <c r="AN5" s="242" t="s">
        <v>56</v>
      </c>
      <c r="AO5" s="242" t="s">
        <v>33</v>
      </c>
      <c r="AP5" s="242" t="s">
        <v>34</v>
      </c>
      <c r="AQ5" s="242" t="s">
        <v>52</v>
      </c>
      <c r="AR5" s="242" t="s">
        <v>1</v>
      </c>
      <c r="AS5" s="242" t="s">
        <v>0</v>
      </c>
      <c r="AT5" s="242" t="s">
        <v>54</v>
      </c>
      <c r="AU5" s="241"/>
    </row>
    <row r="6" spans="1:47" ht="14.25" customHeight="1" x14ac:dyDescent="0.15">
      <c r="A6" s="76"/>
      <c r="C6" s="428"/>
      <c r="D6" s="239">
        <v>1</v>
      </c>
      <c r="E6" s="432" t="s">
        <v>45</v>
      </c>
      <c r="F6" s="433"/>
      <c r="G6" s="434"/>
      <c r="H6" s="207"/>
      <c r="I6" s="251"/>
      <c r="J6" s="207"/>
      <c r="K6" s="187" t="str">
        <f>IF(H6=0,"",Y6)</f>
        <v/>
      </c>
      <c r="L6" s="204">
        <f>IF(H6=0,0,(VLOOKUP($I6,$AA$50:$AJ$58,2))*H6)</f>
        <v>0</v>
      </c>
      <c r="M6" s="235">
        <f>IF(J6=0,0,IF(I6&lt;=50,(ROUND((0.0126+(0.01739-0.1087*R6)/SQRT(U6))*L6*POWER(U6,2)/R6/2/9.8,3)),(ROUND(10.666*POWER(110,-1.85)*POWER(R6,-4.87)*POWER(T6,1.85)*L6,3))))</f>
        <v>0</v>
      </c>
      <c r="N6" s="234"/>
      <c r="P6" s="9"/>
      <c r="R6" s="222">
        <f t="shared" ref="R6:R21" si="0">IF($I6="",0,VLOOKUP($I6,$AA$24:$AC$35,2))</f>
        <v>0</v>
      </c>
      <c r="S6" s="221">
        <f t="shared" ref="S6:S21" si="1">IF($I6="",0,VLOOKUP($I6,$AA$24:$AC$35,3))</f>
        <v>0</v>
      </c>
      <c r="T6" s="202">
        <f t="shared" ref="T6:T21" si="2">J6/1000</f>
        <v>0</v>
      </c>
      <c r="U6" s="202">
        <f>IF(S6=0,0,ROUND(T6/S6,2))</f>
        <v>0</v>
      </c>
      <c r="V6" s="240">
        <f t="shared" ref="V6:V21" si="3">IF($I6="",0,VLOOKUP($I6,$AA$8:$AC$19,2))</f>
        <v>0</v>
      </c>
      <c r="W6" s="221">
        <f t="shared" ref="W6:W21" si="4">IF($I6="",0,VLOOKUP($I6,$AA$8:$AC$19,3))</f>
        <v>0</v>
      </c>
      <c r="X6" s="202">
        <f>J6/1000</f>
        <v>0</v>
      </c>
      <c r="Y6" s="202">
        <f>IF(W6=0,0,ROUND(X6/W6,2))</f>
        <v>0</v>
      </c>
      <c r="AA6" s="155" t="s">
        <v>2</v>
      </c>
      <c r="AB6" s="154" t="s">
        <v>3</v>
      </c>
      <c r="AC6" s="154" t="s">
        <v>4</v>
      </c>
      <c r="AL6" s="233">
        <f>IF(H6&lt;&gt;"",1,51)</f>
        <v>51</v>
      </c>
      <c r="AM6" s="233">
        <f>SMALL($AL$6:$AL$21,1)</f>
        <v>51</v>
      </c>
      <c r="AN6" s="196">
        <f t="shared" ref="AN6:AN21" si="5">IF(AM6&lt;50,VLOOKUP(AM6,$D$6:$M$21,2),0)</f>
        <v>0</v>
      </c>
      <c r="AO6" s="196">
        <f>IF(AM6&lt;50,VLOOKUP(AM6,$D$6:$M$21,5),0)</f>
        <v>0</v>
      </c>
      <c r="AP6" s="196">
        <f>IF(AM6&lt;50,VLOOKUP(AM6,$D$6:$M$21,6),0)</f>
        <v>0</v>
      </c>
      <c r="AQ6" s="232">
        <f>IF(AM6&lt;50,VLOOKUP(AM6,$D$6:$M$21,7),0)</f>
        <v>0</v>
      </c>
      <c r="AR6" s="232">
        <f>IF(AM6&lt;50,VLOOKUP(AM6,$D$6:$M$21,8),0)</f>
        <v>0</v>
      </c>
      <c r="AS6" s="232">
        <f>IF(AM6&lt;50,VLOOKUP(AM6,$D$6:$M$21,9),0)</f>
        <v>0</v>
      </c>
      <c r="AT6" s="231">
        <f>IF(AM6&lt;50,VLOOKUP(AM6,$D$6:$M$21,10),0)</f>
        <v>0</v>
      </c>
    </row>
    <row r="7" spans="1:47" ht="14.25" customHeight="1" thickBot="1" x14ac:dyDescent="0.2">
      <c r="A7" s="76"/>
      <c r="C7" s="428"/>
      <c r="D7" s="239">
        <v>2</v>
      </c>
      <c r="E7" s="424" t="s">
        <v>46</v>
      </c>
      <c r="F7" s="425"/>
      <c r="G7" s="426"/>
      <c r="H7" s="189"/>
      <c r="I7" s="238"/>
      <c r="J7" s="189"/>
      <c r="K7" s="187" t="str">
        <f t="shared" ref="K7:K21" si="6">IF(H7=0,"",Y7)</f>
        <v/>
      </c>
      <c r="L7" s="186">
        <f>IF(H7=0,0,(VLOOKUP($I7,$AA$50:$AJ$58,3))*H7)</f>
        <v>0</v>
      </c>
      <c r="M7" s="235">
        <f t="shared" ref="M7:M21" si="7">IF(J7=0,0,IF(I7&lt;=50,(ROUND((0.0126+(0.01739-0.1087*R7)/SQRT(U7))*L7*POWER(U7,2)/R7/2/9.8,3)),(ROUND(10.666*POWER(110,-1.85)*POWER(R7,-4.87)*POWER(T7,1.85)*L7,3))))</f>
        <v>0</v>
      </c>
      <c r="N7" s="234"/>
      <c r="O7" s="81"/>
      <c r="P7" s="9" t="s">
        <v>153</v>
      </c>
      <c r="R7" s="194">
        <f t="shared" si="0"/>
        <v>0</v>
      </c>
      <c r="S7" s="181">
        <f t="shared" si="1"/>
        <v>0</v>
      </c>
      <c r="T7" s="191">
        <f t="shared" si="2"/>
        <v>0</v>
      </c>
      <c r="U7" s="191">
        <f t="shared" ref="U7:U21" si="8">IF(S7=0,0,ROUND(T7/S7,2))</f>
        <v>0</v>
      </c>
      <c r="V7" s="182">
        <f t="shared" si="3"/>
        <v>0</v>
      </c>
      <c r="W7" s="181">
        <f t="shared" si="4"/>
        <v>0</v>
      </c>
      <c r="X7" s="191">
        <f>J7/1000</f>
        <v>0</v>
      </c>
      <c r="Y7" s="191">
        <f t="shared" ref="Y7:Y21" si="9">IF(W7=0,0,ROUND(X7/W7,2))</f>
        <v>0</v>
      </c>
      <c r="AA7" s="153" t="s">
        <v>307</v>
      </c>
      <c r="AB7" s="152" t="s">
        <v>397</v>
      </c>
      <c r="AC7" s="152" t="s">
        <v>309</v>
      </c>
      <c r="AL7" s="233">
        <f>IF(H7&lt;&gt;"",2,52)</f>
        <v>52</v>
      </c>
      <c r="AM7" s="233">
        <f>SMALL($AL$6:$AL$21,2)</f>
        <v>52</v>
      </c>
      <c r="AN7" s="196">
        <f t="shared" si="5"/>
        <v>0</v>
      </c>
      <c r="AO7" s="196">
        <f t="shared" ref="AO7:AO21" si="10">IF(AM7&lt;50,VLOOKUP(AM7,$D$6:$M$21,5),0)</f>
        <v>0</v>
      </c>
      <c r="AP7" s="196">
        <f t="shared" ref="AP7:AP21" si="11">IF(AM7&lt;50,VLOOKUP(AM7,$D$6:$M$21,6),0)</f>
        <v>0</v>
      </c>
      <c r="AQ7" s="232">
        <f t="shared" ref="AQ7:AQ21" si="12">IF(AM7&lt;50,VLOOKUP(AM7,$D$6:$M$21,7),0)</f>
        <v>0</v>
      </c>
      <c r="AR7" s="232">
        <f t="shared" ref="AR7:AR21" si="13">IF(AM7&lt;50,VLOOKUP(AM7,$D$6:$M$21,8),0)</f>
        <v>0</v>
      </c>
      <c r="AS7" s="232">
        <f t="shared" ref="AS7:AS21" si="14">IF(AM7&lt;50,VLOOKUP(AM7,$D$6:$M$21,9),0)</f>
        <v>0</v>
      </c>
      <c r="AT7" s="231">
        <f t="shared" ref="AT7:AT21" si="15">IF(AM7&lt;50,VLOOKUP(AM7,$D$6:$M$21,10),0)</f>
        <v>0</v>
      </c>
    </row>
    <row r="8" spans="1:47" ht="14.25" customHeight="1" thickTop="1" x14ac:dyDescent="0.15">
      <c r="A8" s="76"/>
      <c r="C8" s="428"/>
      <c r="D8" s="239">
        <v>3</v>
      </c>
      <c r="E8" s="424" t="s">
        <v>47</v>
      </c>
      <c r="F8" s="425"/>
      <c r="G8" s="426"/>
      <c r="H8" s="189"/>
      <c r="I8" s="238"/>
      <c r="J8" s="189"/>
      <c r="K8" s="187" t="str">
        <f t="shared" si="6"/>
        <v/>
      </c>
      <c r="L8" s="186">
        <f>IF(H8=0,0,(VLOOKUP($I8,$AA$50:$AJ$58,4))*H8)</f>
        <v>0</v>
      </c>
      <c r="M8" s="235">
        <f t="shared" si="7"/>
        <v>0</v>
      </c>
      <c r="N8" s="234"/>
      <c r="O8" s="81"/>
      <c r="P8" s="10" t="s">
        <v>154</v>
      </c>
      <c r="R8" s="194">
        <f t="shared" si="0"/>
        <v>0</v>
      </c>
      <c r="S8" s="181">
        <f t="shared" si="1"/>
        <v>0</v>
      </c>
      <c r="T8" s="191">
        <f t="shared" si="2"/>
        <v>0</v>
      </c>
      <c r="U8" s="191">
        <f t="shared" si="8"/>
        <v>0</v>
      </c>
      <c r="V8" s="182">
        <f t="shared" si="3"/>
        <v>0</v>
      </c>
      <c r="W8" s="181">
        <f t="shared" si="4"/>
        <v>0</v>
      </c>
      <c r="X8" s="191">
        <f t="shared" ref="X8:X21" si="16">J8/1000</f>
        <v>0</v>
      </c>
      <c r="Y8" s="191">
        <f t="shared" si="9"/>
        <v>0</v>
      </c>
      <c r="AA8" s="147">
        <v>13</v>
      </c>
      <c r="AB8" s="144">
        <v>1.2999999999999999E-2</v>
      </c>
      <c r="AC8" s="143">
        <f t="shared" ref="AC8:AC19" si="17">ROUND((PI()*POWER(AB8/2,2)),5)</f>
        <v>1.2999999999999999E-4</v>
      </c>
      <c r="AL8" s="233">
        <f>IF(H8&lt;&gt;"",3,53)</f>
        <v>53</v>
      </c>
      <c r="AM8" s="233">
        <f>SMALL($AL$6:$AL$21,3)</f>
        <v>53</v>
      </c>
      <c r="AN8" s="196">
        <f t="shared" si="5"/>
        <v>0</v>
      </c>
      <c r="AO8" s="196">
        <f t="shared" si="10"/>
        <v>0</v>
      </c>
      <c r="AP8" s="196">
        <f t="shared" si="11"/>
        <v>0</v>
      </c>
      <c r="AQ8" s="232">
        <f t="shared" si="12"/>
        <v>0</v>
      </c>
      <c r="AR8" s="232">
        <f t="shared" si="13"/>
        <v>0</v>
      </c>
      <c r="AS8" s="232">
        <f t="shared" si="14"/>
        <v>0</v>
      </c>
      <c r="AT8" s="231">
        <f t="shared" si="15"/>
        <v>0</v>
      </c>
    </row>
    <row r="9" spans="1:47" ht="14.25" customHeight="1" x14ac:dyDescent="0.15">
      <c r="A9" s="76"/>
      <c r="C9" s="428"/>
      <c r="D9" s="239">
        <v>4</v>
      </c>
      <c r="E9" s="424" t="s">
        <v>47</v>
      </c>
      <c r="F9" s="425"/>
      <c r="G9" s="426"/>
      <c r="H9" s="189"/>
      <c r="I9" s="238"/>
      <c r="J9" s="189"/>
      <c r="K9" s="187" t="str">
        <f t="shared" si="6"/>
        <v/>
      </c>
      <c r="L9" s="186">
        <f>IF(H9=0,0,(VLOOKUP($I9,$AA$50:$AJ$58,4))*H9)</f>
        <v>0</v>
      </c>
      <c r="M9" s="235">
        <f t="shared" si="7"/>
        <v>0</v>
      </c>
      <c r="N9" s="234"/>
      <c r="O9" s="81"/>
      <c r="P9" s="10" t="s">
        <v>155</v>
      </c>
      <c r="R9" s="194">
        <f t="shared" si="0"/>
        <v>0</v>
      </c>
      <c r="S9" s="181">
        <f t="shared" si="1"/>
        <v>0</v>
      </c>
      <c r="T9" s="191">
        <f t="shared" si="2"/>
        <v>0</v>
      </c>
      <c r="U9" s="191">
        <f t="shared" si="8"/>
        <v>0</v>
      </c>
      <c r="V9" s="182">
        <f t="shared" si="3"/>
        <v>0</v>
      </c>
      <c r="W9" s="181">
        <f t="shared" si="4"/>
        <v>0</v>
      </c>
      <c r="X9" s="191">
        <f t="shared" si="16"/>
        <v>0</v>
      </c>
      <c r="Y9" s="191">
        <f t="shared" si="9"/>
        <v>0</v>
      </c>
      <c r="AA9" s="137">
        <v>20</v>
      </c>
      <c r="AB9" s="144">
        <v>0.02</v>
      </c>
      <c r="AC9" s="143">
        <f t="shared" si="17"/>
        <v>3.1E-4</v>
      </c>
      <c r="AL9" s="233">
        <f>IF(H9&lt;&gt;"",4,54)</f>
        <v>54</v>
      </c>
      <c r="AM9" s="233">
        <f>SMALL($AL$6:$AL$21,4)</f>
        <v>54</v>
      </c>
      <c r="AN9" s="196">
        <f t="shared" si="5"/>
        <v>0</v>
      </c>
      <c r="AO9" s="196">
        <f t="shared" si="10"/>
        <v>0</v>
      </c>
      <c r="AP9" s="196">
        <f t="shared" si="11"/>
        <v>0</v>
      </c>
      <c r="AQ9" s="232">
        <f t="shared" si="12"/>
        <v>0</v>
      </c>
      <c r="AR9" s="232">
        <f t="shared" si="13"/>
        <v>0</v>
      </c>
      <c r="AS9" s="232">
        <f t="shared" si="14"/>
        <v>0</v>
      </c>
      <c r="AT9" s="231">
        <f t="shared" si="15"/>
        <v>0</v>
      </c>
    </row>
    <row r="10" spans="1:47" ht="14.25" customHeight="1" x14ac:dyDescent="0.15">
      <c r="A10" s="76"/>
      <c r="C10" s="428"/>
      <c r="D10" s="239">
        <v>5</v>
      </c>
      <c r="E10" s="424" t="s">
        <v>47</v>
      </c>
      <c r="F10" s="425"/>
      <c r="G10" s="426"/>
      <c r="H10" s="189"/>
      <c r="I10" s="238"/>
      <c r="J10" s="189"/>
      <c r="K10" s="187" t="str">
        <f t="shared" si="6"/>
        <v/>
      </c>
      <c r="L10" s="186">
        <f>IF(H10=0,0,(VLOOKUP($I10,$AA$50:$AJ$58,4))*H10)</f>
        <v>0</v>
      </c>
      <c r="M10" s="235">
        <f t="shared" si="7"/>
        <v>0</v>
      </c>
      <c r="N10" s="234"/>
      <c r="O10" s="81"/>
      <c r="P10" s="10" t="s">
        <v>156</v>
      </c>
      <c r="R10" s="194">
        <f t="shared" si="0"/>
        <v>0</v>
      </c>
      <c r="S10" s="181">
        <f t="shared" si="1"/>
        <v>0</v>
      </c>
      <c r="T10" s="191">
        <f t="shared" si="2"/>
        <v>0</v>
      </c>
      <c r="U10" s="191">
        <f t="shared" si="8"/>
        <v>0</v>
      </c>
      <c r="V10" s="182">
        <f t="shared" si="3"/>
        <v>0</v>
      </c>
      <c r="W10" s="181">
        <f t="shared" si="4"/>
        <v>0</v>
      </c>
      <c r="X10" s="191">
        <f t="shared" si="16"/>
        <v>0</v>
      </c>
      <c r="Y10" s="191">
        <f t="shared" si="9"/>
        <v>0</v>
      </c>
      <c r="AA10" s="137">
        <v>25</v>
      </c>
      <c r="AB10" s="136">
        <v>2.5000000000000001E-2</v>
      </c>
      <c r="AC10" s="108">
        <f t="shared" si="17"/>
        <v>4.8999999999999998E-4</v>
      </c>
      <c r="AL10" s="233">
        <f>IF(H10&lt;&gt;"",5,55)</f>
        <v>55</v>
      </c>
      <c r="AM10" s="233">
        <f>SMALL($AL$6:$AL$21,5)</f>
        <v>55</v>
      </c>
      <c r="AN10" s="196">
        <f t="shared" si="5"/>
        <v>0</v>
      </c>
      <c r="AO10" s="196">
        <f t="shared" si="10"/>
        <v>0</v>
      </c>
      <c r="AP10" s="196">
        <f t="shared" si="11"/>
        <v>0</v>
      </c>
      <c r="AQ10" s="232">
        <f t="shared" si="12"/>
        <v>0</v>
      </c>
      <c r="AR10" s="232">
        <f t="shared" si="13"/>
        <v>0</v>
      </c>
      <c r="AS10" s="232">
        <f t="shared" si="14"/>
        <v>0</v>
      </c>
      <c r="AT10" s="231">
        <f t="shared" si="15"/>
        <v>0</v>
      </c>
    </row>
    <row r="11" spans="1:47" ht="14.25" customHeight="1" x14ac:dyDescent="0.15">
      <c r="A11" s="76"/>
      <c r="C11" s="428"/>
      <c r="D11" s="239">
        <v>6</v>
      </c>
      <c r="E11" s="424" t="s">
        <v>398</v>
      </c>
      <c r="F11" s="425"/>
      <c r="G11" s="426"/>
      <c r="H11" s="189"/>
      <c r="I11" s="238"/>
      <c r="J11" s="189"/>
      <c r="K11" s="187" t="str">
        <f t="shared" si="6"/>
        <v/>
      </c>
      <c r="L11" s="186">
        <f>IF(H11=0,0,(VLOOKUP($I11,$AA$50:$AJ$58,6))*H11)</f>
        <v>0</v>
      </c>
      <c r="M11" s="235">
        <f t="shared" si="7"/>
        <v>0</v>
      </c>
      <c r="N11" s="234"/>
      <c r="O11" s="81"/>
      <c r="P11" s="10" t="s">
        <v>157</v>
      </c>
      <c r="R11" s="194">
        <f t="shared" si="0"/>
        <v>0</v>
      </c>
      <c r="S11" s="181">
        <f t="shared" si="1"/>
        <v>0</v>
      </c>
      <c r="T11" s="191">
        <f t="shared" si="2"/>
        <v>0</v>
      </c>
      <c r="U11" s="191">
        <f t="shared" si="8"/>
        <v>0</v>
      </c>
      <c r="V11" s="182">
        <f t="shared" si="3"/>
        <v>0</v>
      </c>
      <c r="W11" s="181">
        <f t="shared" si="4"/>
        <v>0</v>
      </c>
      <c r="X11" s="191">
        <f t="shared" si="16"/>
        <v>0</v>
      </c>
      <c r="Y11" s="191">
        <f t="shared" si="9"/>
        <v>0</v>
      </c>
      <c r="AA11" s="137">
        <v>30</v>
      </c>
      <c r="AB11" s="136">
        <v>0.03</v>
      </c>
      <c r="AC11" s="108">
        <f t="shared" si="17"/>
        <v>7.1000000000000002E-4</v>
      </c>
      <c r="AL11" s="233">
        <f>IF(H11&lt;&gt;"",6,56)</f>
        <v>56</v>
      </c>
      <c r="AM11" s="233">
        <f>SMALL($AL$6:$AL$21,6)</f>
        <v>56</v>
      </c>
      <c r="AN11" s="196">
        <f t="shared" si="5"/>
        <v>0</v>
      </c>
      <c r="AO11" s="196">
        <f t="shared" si="10"/>
        <v>0</v>
      </c>
      <c r="AP11" s="196">
        <f t="shared" si="11"/>
        <v>0</v>
      </c>
      <c r="AQ11" s="232">
        <f t="shared" si="12"/>
        <v>0</v>
      </c>
      <c r="AR11" s="232">
        <f t="shared" si="13"/>
        <v>0</v>
      </c>
      <c r="AS11" s="232">
        <f t="shared" si="14"/>
        <v>0</v>
      </c>
      <c r="AT11" s="231">
        <f t="shared" si="15"/>
        <v>0</v>
      </c>
    </row>
    <row r="12" spans="1:47" ht="14.25" customHeight="1" x14ac:dyDescent="0.15">
      <c r="A12" s="76"/>
      <c r="C12" s="428"/>
      <c r="D12" s="239">
        <v>7</v>
      </c>
      <c r="E12" s="424" t="s">
        <v>303</v>
      </c>
      <c r="F12" s="425"/>
      <c r="G12" s="426"/>
      <c r="H12" s="189"/>
      <c r="I12" s="238"/>
      <c r="J12" s="189"/>
      <c r="K12" s="187" t="str">
        <f t="shared" si="6"/>
        <v/>
      </c>
      <c r="L12" s="186">
        <f>IF(H12=0,0,(VLOOKUP($I12,$AA$50:$AJ$58,6))*H12)</f>
        <v>0</v>
      </c>
      <c r="M12" s="235">
        <f t="shared" si="7"/>
        <v>0</v>
      </c>
      <c r="N12" s="234"/>
      <c r="P12" s="10" t="s">
        <v>158</v>
      </c>
      <c r="R12" s="194">
        <f t="shared" si="0"/>
        <v>0</v>
      </c>
      <c r="S12" s="181">
        <f t="shared" si="1"/>
        <v>0</v>
      </c>
      <c r="T12" s="191">
        <f t="shared" si="2"/>
        <v>0</v>
      </c>
      <c r="U12" s="191">
        <f t="shared" si="8"/>
        <v>0</v>
      </c>
      <c r="V12" s="182">
        <f t="shared" si="3"/>
        <v>0</v>
      </c>
      <c r="W12" s="181">
        <f t="shared" si="4"/>
        <v>0</v>
      </c>
      <c r="X12" s="191">
        <f t="shared" si="16"/>
        <v>0</v>
      </c>
      <c r="Y12" s="191">
        <f t="shared" si="9"/>
        <v>0</v>
      </c>
      <c r="AA12" s="137">
        <v>40</v>
      </c>
      <c r="AB12" s="136">
        <v>0.04</v>
      </c>
      <c r="AC12" s="108">
        <f t="shared" si="17"/>
        <v>1.2600000000000001E-3</v>
      </c>
      <c r="AL12" s="233">
        <f>IF(H12&lt;&gt;"",7,57)</f>
        <v>57</v>
      </c>
      <c r="AM12" s="233">
        <f>SMALL($AL$6:$AL$21,7)</f>
        <v>57</v>
      </c>
      <c r="AN12" s="196">
        <f t="shared" si="5"/>
        <v>0</v>
      </c>
      <c r="AO12" s="196">
        <f t="shared" si="10"/>
        <v>0</v>
      </c>
      <c r="AP12" s="196">
        <f t="shared" si="11"/>
        <v>0</v>
      </c>
      <c r="AQ12" s="232">
        <f t="shared" si="12"/>
        <v>0</v>
      </c>
      <c r="AR12" s="232">
        <f t="shared" si="13"/>
        <v>0</v>
      </c>
      <c r="AS12" s="232">
        <f t="shared" si="14"/>
        <v>0</v>
      </c>
      <c r="AT12" s="231">
        <f t="shared" si="15"/>
        <v>0</v>
      </c>
    </row>
    <row r="13" spans="1:47" ht="14.25" customHeight="1" x14ac:dyDescent="0.15">
      <c r="A13" s="76"/>
      <c r="C13" s="428"/>
      <c r="D13" s="239">
        <v>8</v>
      </c>
      <c r="E13" s="424" t="s">
        <v>303</v>
      </c>
      <c r="F13" s="425"/>
      <c r="G13" s="426"/>
      <c r="H13" s="189"/>
      <c r="I13" s="238"/>
      <c r="J13" s="189"/>
      <c r="K13" s="187" t="str">
        <f t="shared" si="6"/>
        <v/>
      </c>
      <c r="L13" s="186">
        <f>IF(H13=0,0,(VLOOKUP($I13,$AA$50:$AJ$58,6))*H13)</f>
        <v>0</v>
      </c>
      <c r="M13" s="235">
        <f t="shared" si="7"/>
        <v>0</v>
      </c>
      <c r="N13" s="234"/>
      <c r="P13" s="10" t="s">
        <v>159</v>
      </c>
      <c r="R13" s="194">
        <f t="shared" si="0"/>
        <v>0</v>
      </c>
      <c r="S13" s="181">
        <f t="shared" si="1"/>
        <v>0</v>
      </c>
      <c r="T13" s="191">
        <f t="shared" si="2"/>
        <v>0</v>
      </c>
      <c r="U13" s="191">
        <f t="shared" si="8"/>
        <v>0</v>
      </c>
      <c r="V13" s="182">
        <f t="shared" si="3"/>
        <v>0</v>
      </c>
      <c r="W13" s="181">
        <f t="shared" si="4"/>
        <v>0</v>
      </c>
      <c r="X13" s="191">
        <f t="shared" si="16"/>
        <v>0</v>
      </c>
      <c r="Y13" s="191">
        <f t="shared" si="9"/>
        <v>0</v>
      </c>
      <c r="AA13" s="137">
        <v>50</v>
      </c>
      <c r="AB13" s="136">
        <v>0.05</v>
      </c>
      <c r="AC13" s="108">
        <f t="shared" si="17"/>
        <v>1.9599999999999999E-3</v>
      </c>
      <c r="AL13" s="233">
        <f>IF(H13&lt;&gt;"",8,58)</f>
        <v>58</v>
      </c>
      <c r="AM13" s="233">
        <f>SMALL($AL$6:$AL$21,8)</f>
        <v>58</v>
      </c>
      <c r="AN13" s="196">
        <f t="shared" si="5"/>
        <v>0</v>
      </c>
      <c r="AO13" s="196">
        <f t="shared" si="10"/>
        <v>0</v>
      </c>
      <c r="AP13" s="196">
        <f t="shared" si="11"/>
        <v>0</v>
      </c>
      <c r="AQ13" s="232">
        <f t="shared" si="12"/>
        <v>0</v>
      </c>
      <c r="AR13" s="232">
        <f t="shared" si="13"/>
        <v>0</v>
      </c>
      <c r="AS13" s="232">
        <f t="shared" si="14"/>
        <v>0</v>
      </c>
      <c r="AT13" s="231">
        <f t="shared" si="15"/>
        <v>0</v>
      </c>
    </row>
    <row r="14" spans="1:47" ht="14.25" customHeight="1" x14ac:dyDescent="0.15">
      <c r="A14" s="76"/>
      <c r="C14" s="428"/>
      <c r="D14" s="239">
        <v>9</v>
      </c>
      <c r="E14" s="424" t="s">
        <v>304</v>
      </c>
      <c r="F14" s="425"/>
      <c r="G14" s="426"/>
      <c r="H14" s="189"/>
      <c r="I14" s="238"/>
      <c r="J14" s="189"/>
      <c r="K14" s="187" t="str">
        <f t="shared" si="6"/>
        <v/>
      </c>
      <c r="L14" s="186">
        <f>IF(H14=0,0,(VLOOKUP($I14,$AA$50:$AJ$58,5))*H14)</f>
        <v>0</v>
      </c>
      <c r="M14" s="235">
        <f t="shared" si="7"/>
        <v>0</v>
      </c>
      <c r="N14" s="234"/>
      <c r="P14" s="10" t="s">
        <v>399</v>
      </c>
      <c r="R14" s="194">
        <f t="shared" si="0"/>
        <v>0</v>
      </c>
      <c r="S14" s="181">
        <f t="shared" si="1"/>
        <v>0</v>
      </c>
      <c r="T14" s="191">
        <f t="shared" si="2"/>
        <v>0</v>
      </c>
      <c r="U14" s="191">
        <f t="shared" si="8"/>
        <v>0</v>
      </c>
      <c r="V14" s="182">
        <f t="shared" si="3"/>
        <v>0</v>
      </c>
      <c r="W14" s="181">
        <f t="shared" si="4"/>
        <v>0</v>
      </c>
      <c r="X14" s="191">
        <f t="shared" si="16"/>
        <v>0</v>
      </c>
      <c r="Y14" s="191">
        <f t="shared" si="9"/>
        <v>0</v>
      </c>
      <c r="AA14" s="147">
        <v>75</v>
      </c>
      <c r="AB14" s="144">
        <v>7.4999999999999997E-2</v>
      </c>
      <c r="AC14" s="143">
        <f t="shared" si="17"/>
        <v>4.4200000000000003E-3</v>
      </c>
      <c r="AL14" s="233">
        <f>IF(H14&lt;&gt;"",9,59)</f>
        <v>59</v>
      </c>
      <c r="AM14" s="233">
        <f>SMALL($AL$6:$AL$21,9)</f>
        <v>59</v>
      </c>
      <c r="AN14" s="196">
        <f t="shared" si="5"/>
        <v>0</v>
      </c>
      <c r="AO14" s="196">
        <f t="shared" si="10"/>
        <v>0</v>
      </c>
      <c r="AP14" s="196">
        <f t="shared" si="11"/>
        <v>0</v>
      </c>
      <c r="AQ14" s="232">
        <f t="shared" si="12"/>
        <v>0</v>
      </c>
      <c r="AR14" s="232">
        <f t="shared" si="13"/>
        <v>0</v>
      </c>
      <c r="AS14" s="232">
        <f t="shared" si="14"/>
        <v>0</v>
      </c>
      <c r="AT14" s="231">
        <f t="shared" si="15"/>
        <v>0</v>
      </c>
    </row>
    <row r="15" spans="1:47" ht="14.25" customHeight="1" x14ac:dyDescent="0.15">
      <c r="A15" s="76"/>
      <c r="C15" s="428"/>
      <c r="D15" s="239">
        <v>10</v>
      </c>
      <c r="E15" s="424" t="s">
        <v>400</v>
      </c>
      <c r="F15" s="425"/>
      <c r="G15" s="426"/>
      <c r="H15" s="189"/>
      <c r="I15" s="238"/>
      <c r="J15" s="189"/>
      <c r="K15" s="187" t="str">
        <f t="shared" si="6"/>
        <v/>
      </c>
      <c r="L15" s="186">
        <f>IF(H15=0,0,(VLOOKUP($I15,$AA$50:$AJ$58,5))*H15)</f>
        <v>0</v>
      </c>
      <c r="M15" s="235">
        <f t="shared" si="7"/>
        <v>0</v>
      </c>
      <c r="N15" s="234"/>
      <c r="P15" s="10" t="s">
        <v>160</v>
      </c>
      <c r="R15" s="194">
        <f t="shared" si="0"/>
        <v>0</v>
      </c>
      <c r="S15" s="181">
        <f t="shared" si="1"/>
        <v>0</v>
      </c>
      <c r="T15" s="191">
        <f t="shared" si="2"/>
        <v>0</v>
      </c>
      <c r="U15" s="191">
        <f t="shared" si="8"/>
        <v>0</v>
      </c>
      <c r="V15" s="182">
        <f t="shared" si="3"/>
        <v>0</v>
      </c>
      <c r="W15" s="181">
        <f t="shared" si="4"/>
        <v>0</v>
      </c>
      <c r="X15" s="191">
        <f t="shared" si="16"/>
        <v>0</v>
      </c>
      <c r="Y15" s="191">
        <f t="shared" si="9"/>
        <v>0</v>
      </c>
      <c r="AA15" s="137">
        <v>100</v>
      </c>
      <c r="AB15" s="144">
        <v>0.1</v>
      </c>
      <c r="AC15" s="143">
        <f t="shared" si="17"/>
        <v>7.8499999999999993E-3</v>
      </c>
      <c r="AL15" s="233">
        <f>IF(H15&lt;&gt;"",10,60)</f>
        <v>60</v>
      </c>
      <c r="AM15" s="233">
        <f>SMALL($AL$6:$AL$21,10)</f>
        <v>60</v>
      </c>
      <c r="AN15" s="196">
        <f t="shared" si="5"/>
        <v>0</v>
      </c>
      <c r="AO15" s="196">
        <f t="shared" si="10"/>
        <v>0</v>
      </c>
      <c r="AP15" s="196">
        <f t="shared" si="11"/>
        <v>0</v>
      </c>
      <c r="AQ15" s="232">
        <f t="shared" si="12"/>
        <v>0</v>
      </c>
      <c r="AR15" s="232">
        <f t="shared" si="13"/>
        <v>0</v>
      </c>
      <c r="AS15" s="232">
        <f t="shared" si="14"/>
        <v>0</v>
      </c>
      <c r="AT15" s="231">
        <f t="shared" si="15"/>
        <v>0</v>
      </c>
    </row>
    <row r="16" spans="1:47" ht="14.25" customHeight="1" x14ac:dyDescent="0.15">
      <c r="A16" s="76"/>
      <c r="C16" s="428"/>
      <c r="D16" s="239">
        <v>11</v>
      </c>
      <c r="E16" s="424" t="s">
        <v>401</v>
      </c>
      <c r="F16" s="425"/>
      <c r="G16" s="426"/>
      <c r="H16" s="189"/>
      <c r="I16" s="238"/>
      <c r="J16" s="189"/>
      <c r="K16" s="187" t="str">
        <f t="shared" si="6"/>
        <v/>
      </c>
      <c r="L16" s="186">
        <f>IF(H16=0,0,(VLOOKUP($I16,$AA$50:$AJ$58,9))*H16)</f>
        <v>0</v>
      </c>
      <c r="M16" s="235">
        <f t="shared" si="7"/>
        <v>0</v>
      </c>
      <c r="N16" s="234"/>
      <c r="P16" s="10" t="s">
        <v>161</v>
      </c>
      <c r="R16" s="194">
        <f t="shared" si="0"/>
        <v>0</v>
      </c>
      <c r="S16" s="181">
        <f t="shared" si="1"/>
        <v>0</v>
      </c>
      <c r="T16" s="191">
        <f t="shared" si="2"/>
        <v>0</v>
      </c>
      <c r="U16" s="191">
        <f t="shared" si="8"/>
        <v>0</v>
      </c>
      <c r="V16" s="182">
        <f t="shared" si="3"/>
        <v>0</v>
      </c>
      <c r="W16" s="181">
        <f t="shared" si="4"/>
        <v>0</v>
      </c>
      <c r="X16" s="191">
        <f t="shared" si="16"/>
        <v>0</v>
      </c>
      <c r="Y16" s="191">
        <f t="shared" si="9"/>
        <v>0</v>
      </c>
      <c r="AA16" s="137">
        <v>150</v>
      </c>
      <c r="AB16" s="136">
        <v>0.15</v>
      </c>
      <c r="AC16" s="108">
        <f t="shared" si="17"/>
        <v>1.7670000000000002E-2</v>
      </c>
      <c r="AL16" s="233">
        <f>IF(H16&lt;&gt;"",11,61)</f>
        <v>61</v>
      </c>
      <c r="AM16" s="233">
        <f>SMALL($AL$6:$AL$21,11)</f>
        <v>61</v>
      </c>
      <c r="AN16" s="196">
        <f t="shared" si="5"/>
        <v>0</v>
      </c>
      <c r="AO16" s="196">
        <f t="shared" si="10"/>
        <v>0</v>
      </c>
      <c r="AP16" s="196">
        <f t="shared" si="11"/>
        <v>0</v>
      </c>
      <c r="AQ16" s="232">
        <f t="shared" si="12"/>
        <v>0</v>
      </c>
      <c r="AR16" s="232">
        <f t="shared" si="13"/>
        <v>0</v>
      </c>
      <c r="AS16" s="232">
        <f t="shared" si="14"/>
        <v>0</v>
      </c>
      <c r="AT16" s="231">
        <f t="shared" si="15"/>
        <v>0</v>
      </c>
    </row>
    <row r="17" spans="1:46" ht="14.25" customHeight="1" x14ac:dyDescent="0.15">
      <c r="A17" s="76"/>
      <c r="C17" s="428"/>
      <c r="D17" s="239">
        <v>12</v>
      </c>
      <c r="E17" s="424" t="s">
        <v>305</v>
      </c>
      <c r="F17" s="425"/>
      <c r="G17" s="426"/>
      <c r="H17" s="189"/>
      <c r="I17" s="238"/>
      <c r="J17" s="189"/>
      <c r="K17" s="187" t="str">
        <f t="shared" si="6"/>
        <v/>
      </c>
      <c r="L17" s="186">
        <f>IF(H17=0,0,(VLOOKUP($I17,$AA$50:$AJ$58,9))*H17)</f>
        <v>0</v>
      </c>
      <c r="M17" s="235">
        <f t="shared" si="7"/>
        <v>0</v>
      </c>
      <c r="N17" s="234"/>
      <c r="P17" s="10" t="s">
        <v>162</v>
      </c>
      <c r="R17" s="194">
        <f t="shared" si="0"/>
        <v>0</v>
      </c>
      <c r="S17" s="181">
        <f t="shared" si="1"/>
        <v>0</v>
      </c>
      <c r="T17" s="191">
        <f t="shared" si="2"/>
        <v>0</v>
      </c>
      <c r="U17" s="191">
        <f t="shared" si="8"/>
        <v>0</v>
      </c>
      <c r="V17" s="182">
        <f t="shared" si="3"/>
        <v>0</v>
      </c>
      <c r="W17" s="181">
        <f t="shared" si="4"/>
        <v>0</v>
      </c>
      <c r="X17" s="191">
        <f t="shared" si="16"/>
        <v>0</v>
      </c>
      <c r="Y17" s="191">
        <f t="shared" si="9"/>
        <v>0</v>
      </c>
      <c r="AA17" s="137">
        <v>200</v>
      </c>
      <c r="AB17" s="136">
        <v>0.2</v>
      </c>
      <c r="AC17" s="108">
        <f t="shared" si="17"/>
        <v>3.1419999999999997E-2</v>
      </c>
      <c r="AL17" s="233">
        <f>IF(H17&lt;&gt;"",12,62)</f>
        <v>62</v>
      </c>
      <c r="AM17" s="233">
        <f>SMALL($AL$6:$AL$21,12)</f>
        <v>62</v>
      </c>
      <c r="AN17" s="196">
        <f t="shared" si="5"/>
        <v>0</v>
      </c>
      <c r="AO17" s="196">
        <f t="shared" si="10"/>
        <v>0</v>
      </c>
      <c r="AP17" s="196">
        <f t="shared" si="11"/>
        <v>0</v>
      </c>
      <c r="AQ17" s="232">
        <f t="shared" si="12"/>
        <v>0</v>
      </c>
      <c r="AR17" s="232">
        <f t="shared" si="13"/>
        <v>0</v>
      </c>
      <c r="AS17" s="232">
        <f t="shared" si="14"/>
        <v>0</v>
      </c>
      <c r="AT17" s="231">
        <f t="shared" si="15"/>
        <v>0</v>
      </c>
    </row>
    <row r="18" spans="1:46" ht="14.25" customHeight="1" x14ac:dyDescent="0.15">
      <c r="A18" s="76"/>
      <c r="C18" s="428"/>
      <c r="D18" s="239">
        <v>13</v>
      </c>
      <c r="E18" s="424" t="s">
        <v>305</v>
      </c>
      <c r="F18" s="425"/>
      <c r="G18" s="426"/>
      <c r="H18" s="189"/>
      <c r="I18" s="238"/>
      <c r="J18" s="189"/>
      <c r="K18" s="187" t="str">
        <f t="shared" si="6"/>
        <v/>
      </c>
      <c r="L18" s="186">
        <f>IF(H18=0,0,(VLOOKUP($I18,$AA$50:$AJ$58,9))*H18)</f>
        <v>0</v>
      </c>
      <c r="M18" s="235">
        <f t="shared" si="7"/>
        <v>0</v>
      </c>
      <c r="N18" s="234"/>
      <c r="P18" s="10" t="s">
        <v>197</v>
      </c>
      <c r="R18" s="194">
        <f t="shared" si="0"/>
        <v>0</v>
      </c>
      <c r="S18" s="181">
        <f t="shared" si="1"/>
        <v>0</v>
      </c>
      <c r="T18" s="191">
        <f t="shared" si="2"/>
        <v>0</v>
      </c>
      <c r="U18" s="191">
        <f t="shared" si="8"/>
        <v>0</v>
      </c>
      <c r="V18" s="182">
        <f t="shared" si="3"/>
        <v>0</v>
      </c>
      <c r="W18" s="181">
        <f t="shared" si="4"/>
        <v>0</v>
      </c>
      <c r="X18" s="191">
        <f t="shared" si="16"/>
        <v>0</v>
      </c>
      <c r="Y18" s="191">
        <f t="shared" si="9"/>
        <v>0</v>
      </c>
      <c r="AA18" s="137">
        <v>250</v>
      </c>
      <c r="AB18" s="136">
        <v>0.25</v>
      </c>
      <c r="AC18" s="108">
        <f t="shared" si="17"/>
        <v>4.9090000000000002E-2</v>
      </c>
      <c r="AL18" s="233">
        <f>IF(H18&lt;&gt;"",13,63)</f>
        <v>63</v>
      </c>
      <c r="AM18" s="233">
        <f>SMALL($AL$6:$AL$21,13)</f>
        <v>63</v>
      </c>
      <c r="AN18" s="196">
        <f t="shared" si="5"/>
        <v>0</v>
      </c>
      <c r="AO18" s="196">
        <f t="shared" si="10"/>
        <v>0</v>
      </c>
      <c r="AP18" s="196">
        <f t="shared" si="11"/>
        <v>0</v>
      </c>
      <c r="AQ18" s="232">
        <f t="shared" si="12"/>
        <v>0</v>
      </c>
      <c r="AR18" s="232">
        <f t="shared" si="13"/>
        <v>0</v>
      </c>
      <c r="AS18" s="232">
        <f t="shared" si="14"/>
        <v>0</v>
      </c>
      <c r="AT18" s="231">
        <f t="shared" si="15"/>
        <v>0</v>
      </c>
    </row>
    <row r="19" spans="1:46" ht="14.25" customHeight="1" x14ac:dyDescent="0.15">
      <c r="A19" s="76"/>
      <c r="C19" s="428"/>
      <c r="D19" s="239">
        <v>14</v>
      </c>
      <c r="E19" s="424" t="s">
        <v>402</v>
      </c>
      <c r="F19" s="425"/>
      <c r="G19" s="426"/>
      <c r="H19" s="189"/>
      <c r="I19" s="238"/>
      <c r="J19" s="189"/>
      <c r="K19" s="187" t="str">
        <f t="shared" si="6"/>
        <v/>
      </c>
      <c r="L19" s="186">
        <f>IF(H19=0,0,(VLOOKUP($I19,$AA$50:$AJ$58,10))*H19)</f>
        <v>0</v>
      </c>
      <c r="M19" s="235">
        <f t="shared" si="7"/>
        <v>0</v>
      </c>
      <c r="N19" s="234"/>
      <c r="P19" s="10" t="s">
        <v>163</v>
      </c>
      <c r="R19" s="194">
        <f t="shared" si="0"/>
        <v>0</v>
      </c>
      <c r="S19" s="181">
        <f t="shared" si="1"/>
        <v>0</v>
      </c>
      <c r="T19" s="191">
        <f t="shared" si="2"/>
        <v>0</v>
      </c>
      <c r="U19" s="191">
        <f t="shared" si="8"/>
        <v>0</v>
      </c>
      <c r="V19" s="182">
        <f t="shared" si="3"/>
        <v>0</v>
      </c>
      <c r="W19" s="181">
        <f t="shared" si="4"/>
        <v>0</v>
      </c>
      <c r="X19" s="191">
        <f t="shared" si="16"/>
        <v>0</v>
      </c>
      <c r="Y19" s="191">
        <f t="shared" si="9"/>
        <v>0</v>
      </c>
      <c r="AA19" s="137">
        <v>300</v>
      </c>
      <c r="AB19" s="136">
        <v>0.3</v>
      </c>
      <c r="AC19" s="108">
        <f t="shared" si="17"/>
        <v>7.0690000000000003E-2</v>
      </c>
      <c r="AL19" s="233">
        <f>IF(H19&lt;&gt;"",14,64)</f>
        <v>64</v>
      </c>
      <c r="AM19" s="233">
        <f>SMALL($AL$6:$AL$21,14)</f>
        <v>64</v>
      </c>
      <c r="AN19" s="196">
        <f t="shared" si="5"/>
        <v>0</v>
      </c>
      <c r="AO19" s="196">
        <f t="shared" si="10"/>
        <v>0</v>
      </c>
      <c r="AP19" s="196">
        <f t="shared" si="11"/>
        <v>0</v>
      </c>
      <c r="AQ19" s="232">
        <f t="shared" si="12"/>
        <v>0</v>
      </c>
      <c r="AR19" s="232">
        <f t="shared" si="13"/>
        <v>0</v>
      </c>
      <c r="AS19" s="232">
        <f t="shared" si="14"/>
        <v>0</v>
      </c>
      <c r="AT19" s="231">
        <f t="shared" si="15"/>
        <v>0</v>
      </c>
    </row>
    <row r="20" spans="1:46" ht="14.25" customHeight="1" x14ac:dyDescent="0.15">
      <c r="A20" s="76"/>
      <c r="C20" s="428"/>
      <c r="D20" s="239">
        <v>15</v>
      </c>
      <c r="E20" s="424" t="s">
        <v>306</v>
      </c>
      <c r="F20" s="425"/>
      <c r="G20" s="426"/>
      <c r="H20" s="189"/>
      <c r="I20" s="238"/>
      <c r="J20" s="189"/>
      <c r="K20" s="187" t="str">
        <f t="shared" si="6"/>
        <v/>
      </c>
      <c r="L20" s="186">
        <f>IF(H20=0,0,(VLOOKUP($I20,$AA$50:$AJ$58,10))*H20)</f>
        <v>0</v>
      </c>
      <c r="M20" s="235">
        <f t="shared" si="7"/>
        <v>0</v>
      </c>
      <c r="N20" s="234"/>
      <c r="P20" s="10" t="s">
        <v>164</v>
      </c>
      <c r="R20" s="194">
        <f t="shared" si="0"/>
        <v>0</v>
      </c>
      <c r="S20" s="181">
        <f t="shared" si="1"/>
        <v>0</v>
      </c>
      <c r="T20" s="191">
        <f t="shared" si="2"/>
        <v>0</v>
      </c>
      <c r="U20" s="191">
        <f t="shared" si="8"/>
        <v>0</v>
      </c>
      <c r="V20" s="182">
        <f t="shared" si="3"/>
        <v>0</v>
      </c>
      <c r="W20" s="181">
        <f t="shared" si="4"/>
        <v>0</v>
      </c>
      <c r="X20" s="191">
        <f t="shared" si="16"/>
        <v>0</v>
      </c>
      <c r="Y20" s="191">
        <f t="shared" si="9"/>
        <v>0</v>
      </c>
      <c r="AL20" s="233">
        <f>IF(H20&lt;&gt;"",15,65)</f>
        <v>65</v>
      </c>
      <c r="AM20" s="233">
        <f>SMALL($AL$6:$AL$21,15)</f>
        <v>65</v>
      </c>
      <c r="AN20" s="196">
        <f t="shared" si="5"/>
        <v>0</v>
      </c>
      <c r="AO20" s="196">
        <f t="shared" si="10"/>
        <v>0</v>
      </c>
      <c r="AP20" s="196">
        <f t="shared" si="11"/>
        <v>0</v>
      </c>
      <c r="AQ20" s="232">
        <f t="shared" si="12"/>
        <v>0</v>
      </c>
      <c r="AR20" s="232">
        <f t="shared" si="13"/>
        <v>0</v>
      </c>
      <c r="AS20" s="232">
        <f t="shared" si="14"/>
        <v>0</v>
      </c>
      <c r="AT20" s="231">
        <f t="shared" si="15"/>
        <v>0</v>
      </c>
    </row>
    <row r="21" spans="1:46" ht="14.25" customHeight="1" x14ac:dyDescent="0.15">
      <c r="A21" s="76"/>
      <c r="C21" s="428"/>
      <c r="D21" s="237">
        <v>16</v>
      </c>
      <c r="E21" s="435" t="s">
        <v>306</v>
      </c>
      <c r="F21" s="436"/>
      <c r="G21" s="437"/>
      <c r="H21" s="175"/>
      <c r="I21" s="236"/>
      <c r="J21" s="189"/>
      <c r="K21" s="187" t="str">
        <f t="shared" si="6"/>
        <v/>
      </c>
      <c r="L21" s="172">
        <f>IF(H21=0,0,(VLOOKUP($I21,$AA$50:$AJ$58,10))*H21)</f>
        <v>0</v>
      </c>
      <c r="M21" s="235">
        <f t="shared" si="7"/>
        <v>0</v>
      </c>
      <c r="N21" s="234"/>
      <c r="P21" s="10" t="s">
        <v>165</v>
      </c>
      <c r="R21" s="170">
        <f t="shared" si="0"/>
        <v>0</v>
      </c>
      <c r="S21" s="168">
        <f t="shared" si="1"/>
        <v>0</v>
      </c>
      <c r="T21" s="167">
        <f t="shared" si="2"/>
        <v>0</v>
      </c>
      <c r="U21" s="167">
        <f t="shared" si="8"/>
        <v>0</v>
      </c>
      <c r="V21" s="169">
        <f t="shared" si="3"/>
        <v>0</v>
      </c>
      <c r="W21" s="168">
        <f t="shared" si="4"/>
        <v>0</v>
      </c>
      <c r="X21" s="167">
        <f t="shared" si="16"/>
        <v>0</v>
      </c>
      <c r="Y21" s="167">
        <f t="shared" si="9"/>
        <v>0</v>
      </c>
      <c r="AA21" s="77" t="s">
        <v>24</v>
      </c>
      <c r="AC21" s="156" t="s">
        <v>139</v>
      </c>
      <c r="AL21" s="233">
        <f>IF(H21&lt;&gt;"",16,66)</f>
        <v>66</v>
      </c>
      <c r="AM21" s="233">
        <f>SMALL($AL$6:$AL$21,16)</f>
        <v>66</v>
      </c>
      <c r="AN21" s="196">
        <f t="shared" si="5"/>
        <v>0</v>
      </c>
      <c r="AO21" s="196">
        <f t="shared" si="10"/>
        <v>0</v>
      </c>
      <c r="AP21" s="196">
        <f t="shared" si="11"/>
        <v>0</v>
      </c>
      <c r="AQ21" s="232">
        <f t="shared" si="12"/>
        <v>0</v>
      </c>
      <c r="AR21" s="232">
        <f t="shared" si="13"/>
        <v>0</v>
      </c>
      <c r="AS21" s="232">
        <f t="shared" si="14"/>
        <v>0</v>
      </c>
      <c r="AT21" s="231">
        <f t="shared" si="15"/>
        <v>0</v>
      </c>
    </row>
    <row r="22" spans="1:46" ht="14.25" customHeight="1" x14ac:dyDescent="0.15">
      <c r="A22" s="76"/>
      <c r="C22" s="429"/>
      <c r="D22" s="230"/>
      <c r="E22" s="421" t="s">
        <v>48</v>
      </c>
      <c r="F22" s="422"/>
      <c r="G22" s="423"/>
      <c r="H22" s="166">
        <f>SUM(H6:H21)</f>
        <v>0</v>
      </c>
      <c r="I22" s="165"/>
      <c r="J22" s="165"/>
      <c r="K22" s="165"/>
      <c r="L22" s="163">
        <f>SUM(L6:L21)</f>
        <v>0</v>
      </c>
      <c r="M22" s="229">
        <f>SUM(M6:M21)</f>
        <v>0</v>
      </c>
      <c r="N22" s="89"/>
      <c r="P22" s="10" t="s">
        <v>403</v>
      </c>
      <c r="V22" s="228"/>
      <c r="W22" s="228"/>
      <c r="X22" s="228"/>
      <c r="AA22" s="155" t="s">
        <v>2</v>
      </c>
      <c r="AB22" s="154" t="s">
        <v>3</v>
      </c>
      <c r="AC22" s="154" t="s">
        <v>4</v>
      </c>
    </row>
    <row r="23" spans="1:46" ht="14.25" customHeight="1" thickBot="1" x14ac:dyDescent="0.2">
      <c r="A23" s="76"/>
      <c r="C23" s="83"/>
      <c r="D23" s="226"/>
      <c r="E23" s="215"/>
      <c r="F23" s="215"/>
      <c r="G23" s="215"/>
      <c r="H23" s="226"/>
      <c r="I23" s="226"/>
      <c r="J23" s="226"/>
      <c r="K23" s="226"/>
      <c r="L23" s="227"/>
      <c r="M23" s="226"/>
      <c r="N23" s="89"/>
      <c r="R23" s="362" t="s">
        <v>142</v>
      </c>
      <c r="S23" s="363"/>
      <c r="T23" s="363"/>
      <c r="U23" s="412"/>
      <c r="V23" s="365" t="s">
        <v>143</v>
      </c>
      <c r="W23" s="366"/>
      <c r="X23" s="366"/>
      <c r="Y23" s="364"/>
      <c r="AA23" s="153" t="s">
        <v>404</v>
      </c>
      <c r="AB23" s="152" t="s">
        <v>308</v>
      </c>
      <c r="AC23" s="152" t="s">
        <v>405</v>
      </c>
    </row>
    <row r="24" spans="1:46" ht="14.25" customHeight="1" thickTop="1" x14ac:dyDescent="0.15">
      <c r="A24" s="76"/>
      <c r="C24" s="413" t="s">
        <v>310</v>
      </c>
      <c r="D24" s="225"/>
      <c r="E24" s="416" t="s">
        <v>61</v>
      </c>
      <c r="F24" s="417"/>
      <c r="G24" s="418"/>
      <c r="H24" s="213" t="s">
        <v>33</v>
      </c>
      <c r="I24" s="213" t="s">
        <v>34</v>
      </c>
      <c r="J24" s="213" t="s">
        <v>52</v>
      </c>
      <c r="K24" s="213" t="s">
        <v>1</v>
      </c>
      <c r="L24" s="213" t="s">
        <v>0</v>
      </c>
      <c r="M24" s="213" t="s">
        <v>396</v>
      </c>
      <c r="N24" s="89"/>
      <c r="P24" s="10"/>
      <c r="R24" s="212" t="s">
        <v>25</v>
      </c>
      <c r="S24" s="211" t="s">
        <v>26</v>
      </c>
      <c r="T24" s="210" t="s">
        <v>322</v>
      </c>
      <c r="U24" s="134" t="s">
        <v>1</v>
      </c>
      <c r="V24" s="212" t="s">
        <v>25</v>
      </c>
      <c r="W24" s="211" t="s">
        <v>26</v>
      </c>
      <c r="X24" s="210" t="s">
        <v>322</v>
      </c>
      <c r="Y24" s="134" t="s">
        <v>1</v>
      </c>
      <c r="AA24" s="147">
        <v>13</v>
      </c>
      <c r="AB24" s="143">
        <v>1.4279999999999999E-2</v>
      </c>
      <c r="AC24" s="143">
        <f t="shared" ref="AC24:AC35" si="18">ROUND((PI()*POWER(AB24/2,2)),5)</f>
        <v>1.6000000000000001E-4</v>
      </c>
    </row>
    <row r="25" spans="1:46" ht="14.25" customHeight="1" x14ac:dyDescent="0.15">
      <c r="A25" s="76"/>
      <c r="C25" s="414"/>
      <c r="D25" s="224"/>
      <c r="E25" s="209" t="s">
        <v>37</v>
      </c>
      <c r="F25" s="177" t="s">
        <v>354</v>
      </c>
      <c r="G25" s="208" t="s">
        <v>406</v>
      </c>
      <c r="H25" s="207"/>
      <c r="I25" s="206">
        <f>IF(H25=0,0,IF(直圧式水理計算書!G23=0,0,直圧式水理計算書!G23))</f>
        <v>0</v>
      </c>
      <c r="J25" s="205">
        <f>IF(H25=0,0,IF(直圧式水理計算書!I23=0,0,直圧式水理計算書!I23))</f>
        <v>0</v>
      </c>
      <c r="K25" s="205" t="str">
        <f t="shared" ref="K25:K49" si="19">IF(H25=0,"",Y25)</f>
        <v/>
      </c>
      <c r="L25" s="204">
        <f t="shared" ref="L25:L49" si="20">IF(H25=0,0,(VLOOKUP($I25,$AA$50:$AJ$58,7))*H25)</f>
        <v>0</v>
      </c>
      <c r="M25" s="223">
        <f>IF(J25=0,0,IF(I25&lt;=50,(ROUND((0.0126+(0.01739-0.1087*R25)/SQRT(U25))*L25*POWER(U25,2)/R25/2/9.8,3)),(ROUND(10.666*POWER(110,-1.85)*POWER(R25,-4.87)*POWER(T25,1.85)*L25,3))))</f>
        <v>0</v>
      </c>
      <c r="N25" s="89"/>
      <c r="P25" s="9" t="s">
        <v>115</v>
      </c>
      <c r="R25" s="222">
        <f>IF($I25=0,0,VLOOKUP($I25,$AA$24:$AC$35,2))</f>
        <v>0</v>
      </c>
      <c r="S25" s="221">
        <f>IF($I25=0,0,VLOOKUP($I25,$AA$24:$AC$35,3))</f>
        <v>0</v>
      </c>
      <c r="T25" s="202">
        <f t="shared" ref="T25:T49" si="21">J25/1000</f>
        <v>0</v>
      </c>
      <c r="U25" s="202">
        <f>IF(S25=0,0,ROUND(T25/S25,2))</f>
        <v>0</v>
      </c>
      <c r="V25" s="193">
        <f>IF($I25=0,0,VLOOKUP($I25,$AA$8:$AC$19,2))</f>
        <v>0</v>
      </c>
      <c r="W25" s="192">
        <f>IF($I25=0,0,VLOOKUP($I25,$AA$8:$AC$19,3))</f>
        <v>0</v>
      </c>
      <c r="X25" s="220">
        <f>J25/1000</f>
        <v>0</v>
      </c>
      <c r="Y25" s="220">
        <f>IF(W25=0,0,ROUND(X25/W25,2))</f>
        <v>0</v>
      </c>
      <c r="AA25" s="137">
        <v>20</v>
      </c>
      <c r="AB25" s="143">
        <v>2.0219999999999998E-2</v>
      </c>
      <c r="AC25" s="143">
        <f t="shared" si="18"/>
        <v>3.2000000000000003E-4</v>
      </c>
    </row>
    <row r="26" spans="1:46" ht="14.25" customHeight="1" x14ac:dyDescent="0.15">
      <c r="A26" s="76"/>
      <c r="C26" s="414"/>
      <c r="D26" s="190"/>
      <c r="E26" s="254" t="s">
        <v>355</v>
      </c>
      <c r="F26" s="177" t="s">
        <v>354</v>
      </c>
      <c r="G26" s="127" t="s">
        <v>39</v>
      </c>
      <c r="H26" s="189"/>
      <c r="I26" s="188">
        <f>IF(H26=0,0,IF(直圧式水理計算書!G24=0,0,直圧式水理計算書!G24))</f>
        <v>0</v>
      </c>
      <c r="J26" s="187">
        <f>IF(H26=0,0,IF(直圧式水理計算書!I24=0,0,直圧式水理計算書!I24))</f>
        <v>0</v>
      </c>
      <c r="K26" s="187" t="str">
        <f t="shared" si="19"/>
        <v/>
      </c>
      <c r="L26" s="186">
        <f t="shared" si="20"/>
        <v>0</v>
      </c>
      <c r="M26" s="185">
        <f t="shared" ref="M26:M49" si="22">IF(J26=0,0,IF(I26&lt;=50,(ROUND((0.0126+(0.01739-0.1087*R26)/SQRT(U26))*L26*POWER(U26,2)/R26/2/9.8,3)),(ROUND(10.666*POWER(110,-1.85)*POWER(R26,-4.87)*POWER(T26,1.85)*L26,3))))</f>
        <v>0</v>
      </c>
      <c r="N26" s="89"/>
      <c r="P26" s="10" t="s">
        <v>116</v>
      </c>
      <c r="R26" s="194">
        <f>IF($I26=0,0,VLOOKUP($I26,$AA$24:$AC$35,2))</f>
        <v>0</v>
      </c>
      <c r="S26" s="181">
        <f>IF($I26=0,0,VLOOKUP($I26,$AA$24:$AC$35,3))</f>
        <v>0</v>
      </c>
      <c r="T26" s="191">
        <f t="shared" si="21"/>
        <v>0</v>
      </c>
      <c r="U26" s="191">
        <f>IF(S26=0,0,ROUND(T26/S26,2))</f>
        <v>0</v>
      </c>
      <c r="V26" s="193">
        <f t="shared" ref="V26:V49" si="23">IF($I26=0,0,VLOOKUP($I26,$AA$8:$AC$19,2))</f>
        <v>0</v>
      </c>
      <c r="W26" s="192">
        <f t="shared" ref="W26:W49" si="24">IF($I26=0,0,VLOOKUP($I26,$AA$8:$AC$19,3))</f>
        <v>0</v>
      </c>
      <c r="X26" s="191">
        <f>J26/1000</f>
        <v>0</v>
      </c>
      <c r="Y26" s="191">
        <f>IF(W26=0,0,ROUND(X26/W26,2))</f>
        <v>0</v>
      </c>
      <c r="AA26" s="137">
        <v>25</v>
      </c>
      <c r="AB26" s="138">
        <v>2.6579999999999999E-2</v>
      </c>
      <c r="AC26" s="108">
        <f t="shared" si="18"/>
        <v>5.5000000000000003E-4</v>
      </c>
    </row>
    <row r="27" spans="1:46" ht="14.25" customHeight="1" x14ac:dyDescent="0.15">
      <c r="A27" s="76"/>
      <c r="C27" s="414"/>
      <c r="D27" s="190"/>
      <c r="E27" s="254" t="s">
        <v>407</v>
      </c>
      <c r="F27" s="177" t="s">
        <v>311</v>
      </c>
      <c r="G27" s="127" t="s">
        <v>36</v>
      </c>
      <c r="H27" s="189"/>
      <c r="I27" s="188">
        <f>IF(H27=0,0,IF(直圧式水理計算書!G25=0,0,直圧式水理計算書!G25))</f>
        <v>0</v>
      </c>
      <c r="J27" s="187">
        <f>IF(H27=0,0,IF(直圧式水理計算書!I25=0,0,直圧式水理計算書!I25))</f>
        <v>0</v>
      </c>
      <c r="K27" s="187" t="str">
        <f t="shared" si="19"/>
        <v/>
      </c>
      <c r="L27" s="186">
        <f t="shared" si="20"/>
        <v>0</v>
      </c>
      <c r="M27" s="185">
        <f t="shared" si="22"/>
        <v>0</v>
      </c>
      <c r="N27" s="89"/>
      <c r="P27" s="10" t="s">
        <v>166</v>
      </c>
      <c r="R27" s="194">
        <f t="shared" ref="R27:R49" si="25">IF($I27=0,0,VLOOKUP($I27,$AA$24:$AC$35,2))</f>
        <v>0</v>
      </c>
      <c r="S27" s="181">
        <f t="shared" ref="S27:S49" si="26">IF($I27=0,0,VLOOKUP($I27,$AA$24:$AC$35,3))</f>
        <v>0</v>
      </c>
      <c r="T27" s="191">
        <f t="shared" si="21"/>
        <v>0</v>
      </c>
      <c r="U27" s="191">
        <f>IF(S27=0,0,ROUND(T27/S27,2))</f>
        <v>0</v>
      </c>
      <c r="V27" s="193">
        <f t="shared" si="23"/>
        <v>0</v>
      </c>
      <c r="W27" s="192">
        <f t="shared" si="24"/>
        <v>0</v>
      </c>
      <c r="X27" s="191">
        <f>J27/1000</f>
        <v>0</v>
      </c>
      <c r="Y27" s="191">
        <f>IF(W27=0,0,ROUND(X27/W27,2))</f>
        <v>0</v>
      </c>
      <c r="AA27" s="137">
        <v>30</v>
      </c>
      <c r="AB27" s="138">
        <v>3.1600000000000003E-2</v>
      </c>
      <c r="AC27" s="108">
        <f t="shared" si="18"/>
        <v>7.7999999999999999E-4</v>
      </c>
    </row>
    <row r="28" spans="1:46" ht="14.25" customHeight="1" x14ac:dyDescent="0.15">
      <c r="A28" s="76"/>
      <c r="C28" s="414"/>
      <c r="D28" s="190"/>
      <c r="E28" s="254" t="s">
        <v>36</v>
      </c>
      <c r="F28" s="177" t="s">
        <v>311</v>
      </c>
      <c r="G28" s="127" t="s">
        <v>408</v>
      </c>
      <c r="H28" s="189"/>
      <c r="I28" s="188">
        <f>IF(H28=0,0,IF(直圧式水理計算書!G26=0,0,直圧式水理計算書!G26))</f>
        <v>0</v>
      </c>
      <c r="J28" s="187">
        <f>IF(H28=0,0,IF(直圧式水理計算書!I26=0,0,直圧式水理計算書!I26))</f>
        <v>0</v>
      </c>
      <c r="K28" s="187" t="str">
        <f t="shared" si="19"/>
        <v/>
      </c>
      <c r="L28" s="186">
        <f t="shared" si="20"/>
        <v>0</v>
      </c>
      <c r="M28" s="185">
        <f t="shared" si="22"/>
        <v>0</v>
      </c>
      <c r="N28" s="89"/>
      <c r="P28" s="10" t="s">
        <v>117</v>
      </c>
      <c r="R28" s="194">
        <f t="shared" si="25"/>
        <v>0</v>
      </c>
      <c r="S28" s="181">
        <f t="shared" si="26"/>
        <v>0</v>
      </c>
      <c r="T28" s="191">
        <f t="shared" si="21"/>
        <v>0</v>
      </c>
      <c r="U28" s="191">
        <f>IF(S28=0,0,ROUND(T28/S28,2))</f>
        <v>0</v>
      </c>
      <c r="V28" s="193">
        <f t="shared" si="23"/>
        <v>0</v>
      </c>
      <c r="W28" s="192">
        <f t="shared" si="24"/>
        <v>0</v>
      </c>
      <c r="X28" s="191">
        <f>J28/1000</f>
        <v>0</v>
      </c>
      <c r="Y28" s="191">
        <f>IF(W28=0,0,ROUND(X28/W28,2))</f>
        <v>0</v>
      </c>
      <c r="AA28" s="137">
        <v>40</v>
      </c>
      <c r="AB28" s="138">
        <v>4.0300000000000002E-2</v>
      </c>
      <c r="AC28" s="108">
        <f t="shared" si="18"/>
        <v>1.2800000000000001E-3</v>
      </c>
    </row>
    <row r="29" spans="1:46" ht="14.25" customHeight="1" x14ac:dyDescent="0.15">
      <c r="A29" s="76"/>
      <c r="C29" s="414"/>
      <c r="D29" s="190"/>
      <c r="E29" s="254" t="s">
        <v>40</v>
      </c>
      <c r="F29" s="177" t="s">
        <v>354</v>
      </c>
      <c r="G29" s="127" t="s">
        <v>42</v>
      </c>
      <c r="H29" s="189"/>
      <c r="I29" s="188">
        <f>IF(H29=0,0,IF(直圧式水理計算書!G27=0,0,直圧式水理計算書!G27))</f>
        <v>0</v>
      </c>
      <c r="J29" s="187">
        <f>IF(H29=0,0,IF(直圧式水理計算書!I27=0,0,直圧式水理計算書!I27))</f>
        <v>0</v>
      </c>
      <c r="K29" s="187" t="str">
        <f t="shared" si="19"/>
        <v/>
      </c>
      <c r="L29" s="186">
        <f t="shared" si="20"/>
        <v>0</v>
      </c>
      <c r="M29" s="185">
        <f t="shared" si="22"/>
        <v>0</v>
      </c>
      <c r="N29" s="89"/>
      <c r="P29" s="10" t="s">
        <v>118</v>
      </c>
      <c r="R29" s="194">
        <f t="shared" si="25"/>
        <v>0</v>
      </c>
      <c r="S29" s="181">
        <f t="shared" si="26"/>
        <v>0</v>
      </c>
      <c r="T29" s="191">
        <f t="shared" si="21"/>
        <v>0</v>
      </c>
      <c r="U29" s="191">
        <f t="shared" ref="U29:U49" si="27">IF(S29=0,0,ROUND(T29/S29,2))</f>
        <v>0</v>
      </c>
      <c r="V29" s="193">
        <f t="shared" si="23"/>
        <v>0</v>
      </c>
      <c r="W29" s="192">
        <f t="shared" si="24"/>
        <v>0</v>
      </c>
      <c r="X29" s="191">
        <f t="shared" ref="X29:X49" si="28">J29/1000</f>
        <v>0</v>
      </c>
      <c r="Y29" s="191">
        <f t="shared" ref="Y29:Y49" si="29">IF(W29=0,0,ROUND(X29/W29,2))</f>
        <v>0</v>
      </c>
      <c r="AA29" s="137">
        <v>50</v>
      </c>
      <c r="AB29" s="138">
        <v>4.6199999999999998E-2</v>
      </c>
      <c r="AC29" s="108">
        <f t="shared" si="18"/>
        <v>1.6800000000000001E-3</v>
      </c>
    </row>
    <row r="30" spans="1:46" ht="14.25" customHeight="1" x14ac:dyDescent="0.15">
      <c r="A30" s="76"/>
      <c r="C30" s="414"/>
      <c r="D30" s="190"/>
      <c r="E30" s="254" t="s">
        <v>409</v>
      </c>
      <c r="F30" s="177" t="s">
        <v>354</v>
      </c>
      <c r="G30" s="127" t="s">
        <v>410</v>
      </c>
      <c r="H30" s="189"/>
      <c r="I30" s="188">
        <f>IF(H30=0,0,IF(直圧式水理計算書!G28=0,0,直圧式水理計算書!G28))</f>
        <v>0</v>
      </c>
      <c r="J30" s="187">
        <f>IF(H30=0,0,IF(直圧式水理計算書!I28=0,0,直圧式水理計算書!I28))</f>
        <v>0</v>
      </c>
      <c r="K30" s="187" t="str">
        <f t="shared" si="19"/>
        <v/>
      </c>
      <c r="L30" s="186">
        <f t="shared" si="20"/>
        <v>0</v>
      </c>
      <c r="M30" s="185">
        <f t="shared" si="22"/>
        <v>0</v>
      </c>
      <c r="N30" s="89"/>
      <c r="P30" s="10" t="s">
        <v>119</v>
      </c>
      <c r="R30" s="194">
        <f t="shared" si="25"/>
        <v>0</v>
      </c>
      <c r="S30" s="181">
        <f t="shared" si="26"/>
        <v>0</v>
      </c>
      <c r="T30" s="191">
        <f t="shared" si="21"/>
        <v>0</v>
      </c>
      <c r="U30" s="191">
        <f t="shared" si="27"/>
        <v>0</v>
      </c>
      <c r="V30" s="193">
        <f t="shared" si="23"/>
        <v>0</v>
      </c>
      <c r="W30" s="192">
        <f t="shared" si="24"/>
        <v>0</v>
      </c>
      <c r="X30" s="191">
        <f t="shared" si="28"/>
        <v>0</v>
      </c>
      <c r="Y30" s="191">
        <f t="shared" si="29"/>
        <v>0</v>
      </c>
      <c r="AA30" s="147">
        <v>75</v>
      </c>
      <c r="AB30" s="145">
        <f>0.093-(0.0075*2+0.004*2)</f>
        <v>7.0000000000000007E-2</v>
      </c>
      <c r="AC30" s="143">
        <f t="shared" si="18"/>
        <v>3.8500000000000001E-3</v>
      </c>
    </row>
    <row r="31" spans="1:46" ht="14.25" customHeight="1" x14ac:dyDescent="0.15">
      <c r="A31" s="76"/>
      <c r="C31" s="414"/>
      <c r="D31" s="190"/>
      <c r="E31" s="254" t="s">
        <v>411</v>
      </c>
      <c r="F31" s="128" t="s">
        <v>311</v>
      </c>
      <c r="G31" s="127" t="s">
        <v>412</v>
      </c>
      <c r="H31" s="189"/>
      <c r="I31" s="188">
        <f>IF(H31=0,0,IF(直圧式水理計算書!G29=0,0,直圧式水理計算書!G29))</f>
        <v>0</v>
      </c>
      <c r="J31" s="187">
        <f>IF(H31=0,0,IF(直圧式水理計算書!I29=0,0,直圧式水理計算書!I29))</f>
        <v>0</v>
      </c>
      <c r="K31" s="187" t="str">
        <f t="shared" si="19"/>
        <v/>
      </c>
      <c r="L31" s="186">
        <f t="shared" si="20"/>
        <v>0</v>
      </c>
      <c r="M31" s="185">
        <f t="shared" si="22"/>
        <v>0</v>
      </c>
      <c r="N31" s="89"/>
      <c r="P31" s="10" t="s">
        <v>120</v>
      </c>
      <c r="R31" s="194">
        <f t="shared" si="25"/>
        <v>0</v>
      </c>
      <c r="S31" s="181">
        <f t="shared" si="26"/>
        <v>0</v>
      </c>
      <c r="T31" s="191">
        <f t="shared" si="21"/>
        <v>0</v>
      </c>
      <c r="U31" s="191">
        <f t="shared" si="27"/>
        <v>0</v>
      </c>
      <c r="V31" s="193">
        <f t="shared" si="23"/>
        <v>0</v>
      </c>
      <c r="W31" s="192">
        <f t="shared" si="24"/>
        <v>0</v>
      </c>
      <c r="X31" s="191">
        <f t="shared" si="28"/>
        <v>0</v>
      </c>
      <c r="Y31" s="191">
        <f t="shared" si="29"/>
        <v>0</v>
      </c>
      <c r="AA31" s="137">
        <v>100</v>
      </c>
      <c r="AB31" s="145">
        <f>0.118-(0.0075*2+0.004*2)</f>
        <v>9.5000000000000001E-2</v>
      </c>
      <c r="AC31" s="143">
        <f t="shared" si="18"/>
        <v>7.0899999999999999E-3</v>
      </c>
    </row>
    <row r="32" spans="1:46" ht="14.25" customHeight="1" x14ac:dyDescent="0.15">
      <c r="A32" s="76"/>
      <c r="C32" s="414"/>
      <c r="D32" s="190"/>
      <c r="E32" s="254" t="s">
        <v>44</v>
      </c>
      <c r="F32" s="128" t="s">
        <v>311</v>
      </c>
      <c r="G32" s="127" t="s">
        <v>413</v>
      </c>
      <c r="H32" s="189"/>
      <c r="I32" s="188">
        <f>IF(H32=0,0,IF(直圧式水理計算書!G30=0,0,直圧式水理計算書!G30))</f>
        <v>0</v>
      </c>
      <c r="J32" s="187">
        <f>IF(H32=0,0,IF(直圧式水理計算書!I30=0,0,直圧式水理計算書!I30))</f>
        <v>0</v>
      </c>
      <c r="K32" s="187" t="str">
        <f t="shared" si="19"/>
        <v/>
      </c>
      <c r="L32" s="186">
        <f t="shared" si="20"/>
        <v>0</v>
      </c>
      <c r="M32" s="185">
        <f t="shared" si="22"/>
        <v>0</v>
      </c>
      <c r="N32" s="89"/>
      <c r="P32" s="10" t="s">
        <v>121</v>
      </c>
      <c r="R32" s="194">
        <f t="shared" si="25"/>
        <v>0</v>
      </c>
      <c r="S32" s="181">
        <f t="shared" si="26"/>
        <v>0</v>
      </c>
      <c r="T32" s="191">
        <f t="shared" si="21"/>
        <v>0</v>
      </c>
      <c r="U32" s="191">
        <f t="shared" si="27"/>
        <v>0</v>
      </c>
      <c r="V32" s="193">
        <f t="shared" si="23"/>
        <v>0</v>
      </c>
      <c r="W32" s="192">
        <f t="shared" si="24"/>
        <v>0</v>
      </c>
      <c r="X32" s="191">
        <f t="shared" si="28"/>
        <v>0</v>
      </c>
      <c r="Y32" s="191">
        <f t="shared" si="29"/>
        <v>0</v>
      </c>
      <c r="AA32" s="137">
        <v>150</v>
      </c>
      <c r="AB32" s="138">
        <f>0.169-(0.0075*2+0.004*2)</f>
        <v>0.14600000000000002</v>
      </c>
      <c r="AC32" s="108">
        <f t="shared" si="18"/>
        <v>1.6740000000000001E-2</v>
      </c>
    </row>
    <row r="33" spans="1:29" ht="14.25" customHeight="1" x14ac:dyDescent="0.15">
      <c r="A33" s="76"/>
      <c r="C33" s="414"/>
      <c r="D33" s="190"/>
      <c r="E33" s="254" t="s">
        <v>312</v>
      </c>
      <c r="F33" s="177" t="s">
        <v>414</v>
      </c>
      <c r="G33" s="127" t="s">
        <v>368</v>
      </c>
      <c r="H33" s="189"/>
      <c r="I33" s="188">
        <f>IF(H33=0,0,IF(直圧式水理計算書!G31=0,0,直圧式水理計算書!G31))</f>
        <v>0</v>
      </c>
      <c r="J33" s="187">
        <f>IF(H33=0,0,IF(直圧式水理計算書!I31=0,0,直圧式水理計算書!I31))</f>
        <v>0</v>
      </c>
      <c r="K33" s="187" t="str">
        <f t="shared" si="19"/>
        <v/>
      </c>
      <c r="L33" s="186">
        <f t="shared" si="20"/>
        <v>0</v>
      </c>
      <c r="M33" s="185">
        <f t="shared" si="22"/>
        <v>0</v>
      </c>
      <c r="N33" s="89"/>
      <c r="P33" s="10" t="s">
        <v>122</v>
      </c>
      <c r="R33" s="194">
        <f t="shared" si="25"/>
        <v>0</v>
      </c>
      <c r="S33" s="181">
        <f t="shared" si="26"/>
        <v>0</v>
      </c>
      <c r="T33" s="191">
        <f t="shared" si="21"/>
        <v>0</v>
      </c>
      <c r="U33" s="191">
        <f t="shared" si="27"/>
        <v>0</v>
      </c>
      <c r="V33" s="193">
        <f t="shared" si="23"/>
        <v>0</v>
      </c>
      <c r="W33" s="192">
        <f t="shared" si="24"/>
        <v>0</v>
      </c>
      <c r="X33" s="191">
        <f t="shared" si="28"/>
        <v>0</v>
      </c>
      <c r="Y33" s="191">
        <f t="shared" si="29"/>
        <v>0</v>
      </c>
      <c r="AA33" s="137">
        <v>200</v>
      </c>
      <c r="AB33" s="138">
        <f>0.22-(0.0075*2+0.004*2)</f>
        <v>0.19700000000000001</v>
      </c>
      <c r="AC33" s="108">
        <f t="shared" si="18"/>
        <v>3.048E-2</v>
      </c>
    </row>
    <row r="34" spans="1:29" ht="14.25" customHeight="1" x14ac:dyDescent="0.15">
      <c r="A34" s="76"/>
      <c r="C34" s="414"/>
      <c r="D34" s="190"/>
      <c r="E34" s="254" t="s">
        <v>313</v>
      </c>
      <c r="F34" s="177" t="s">
        <v>311</v>
      </c>
      <c r="G34" s="127" t="s">
        <v>415</v>
      </c>
      <c r="H34" s="189"/>
      <c r="I34" s="188">
        <f>IF(H34=0,0,IF(直圧式水理計算書!G32=0,0,直圧式水理計算書!G32))</f>
        <v>0</v>
      </c>
      <c r="J34" s="187">
        <f>IF(H34=0,0,IF(直圧式水理計算書!I32=0,0,直圧式水理計算書!I32))</f>
        <v>0</v>
      </c>
      <c r="K34" s="187" t="str">
        <f t="shared" si="19"/>
        <v/>
      </c>
      <c r="L34" s="186">
        <f t="shared" si="20"/>
        <v>0</v>
      </c>
      <c r="M34" s="185">
        <f t="shared" si="22"/>
        <v>0</v>
      </c>
      <c r="N34" s="89"/>
      <c r="P34" s="10" t="s">
        <v>123</v>
      </c>
      <c r="R34" s="194">
        <f t="shared" si="25"/>
        <v>0</v>
      </c>
      <c r="S34" s="181">
        <f t="shared" si="26"/>
        <v>0</v>
      </c>
      <c r="T34" s="191">
        <f t="shared" si="21"/>
        <v>0</v>
      </c>
      <c r="U34" s="191">
        <f t="shared" si="27"/>
        <v>0</v>
      </c>
      <c r="V34" s="193">
        <f t="shared" si="23"/>
        <v>0</v>
      </c>
      <c r="W34" s="192">
        <f t="shared" si="24"/>
        <v>0</v>
      </c>
      <c r="X34" s="191">
        <f t="shared" si="28"/>
        <v>0</v>
      </c>
      <c r="Y34" s="191">
        <f t="shared" si="29"/>
        <v>0</v>
      </c>
      <c r="AA34" s="137">
        <v>250</v>
      </c>
      <c r="AB34" s="138">
        <f>0.2716-(0.0075*2+0.004*2)</f>
        <v>0.24860000000000002</v>
      </c>
      <c r="AC34" s="108">
        <f t="shared" si="18"/>
        <v>4.854E-2</v>
      </c>
    </row>
    <row r="35" spans="1:29" ht="14.25" customHeight="1" x14ac:dyDescent="0.15">
      <c r="A35" s="76"/>
      <c r="C35" s="414"/>
      <c r="D35" s="219"/>
      <c r="E35" s="178" t="s">
        <v>415</v>
      </c>
      <c r="F35" s="177" t="s">
        <v>311</v>
      </c>
      <c r="G35" s="176" t="s">
        <v>416</v>
      </c>
      <c r="H35" s="189"/>
      <c r="I35" s="188">
        <f>IF(H35=0,0,IF(直圧式水理計算書!G33=0,0,直圧式水理計算書!G33))</f>
        <v>0</v>
      </c>
      <c r="J35" s="187">
        <f>IF(H35=0,0,IF(直圧式水理計算書!I33=0,0,直圧式水理計算書!I33))</f>
        <v>0</v>
      </c>
      <c r="K35" s="187" t="str">
        <f t="shared" si="19"/>
        <v/>
      </c>
      <c r="L35" s="186">
        <f t="shared" si="20"/>
        <v>0</v>
      </c>
      <c r="M35" s="185">
        <f t="shared" si="22"/>
        <v>0</v>
      </c>
      <c r="N35" s="89"/>
      <c r="P35" s="10" t="s">
        <v>124</v>
      </c>
      <c r="R35" s="194">
        <f t="shared" si="25"/>
        <v>0</v>
      </c>
      <c r="S35" s="181">
        <f t="shared" si="26"/>
        <v>0</v>
      </c>
      <c r="T35" s="191">
        <f t="shared" si="21"/>
        <v>0</v>
      </c>
      <c r="U35" s="191">
        <f t="shared" si="27"/>
        <v>0</v>
      </c>
      <c r="V35" s="193">
        <f t="shared" si="23"/>
        <v>0</v>
      </c>
      <c r="W35" s="192">
        <f t="shared" si="24"/>
        <v>0</v>
      </c>
      <c r="X35" s="191">
        <f t="shared" si="28"/>
        <v>0</v>
      </c>
      <c r="Y35" s="191">
        <f t="shared" si="29"/>
        <v>0</v>
      </c>
      <c r="AA35" s="137">
        <v>300</v>
      </c>
      <c r="AB35" s="138">
        <f>0.3228-(0.0075*2+0.006*2)</f>
        <v>0.29579999999999995</v>
      </c>
      <c r="AC35" s="108">
        <f t="shared" si="18"/>
        <v>6.8720000000000003E-2</v>
      </c>
    </row>
    <row r="36" spans="1:29" ht="14.25" customHeight="1" x14ac:dyDescent="0.15">
      <c r="A36" s="76"/>
      <c r="C36" s="414"/>
      <c r="D36" s="219"/>
      <c r="E36" s="178" t="s">
        <v>314</v>
      </c>
      <c r="F36" s="177" t="s">
        <v>311</v>
      </c>
      <c r="G36" s="176" t="s">
        <v>373</v>
      </c>
      <c r="H36" s="189"/>
      <c r="I36" s="188">
        <f>IF(H36=0,0,IF(直圧式水理計算書!G34=0,0,直圧式水理計算書!G34))</f>
        <v>0</v>
      </c>
      <c r="J36" s="187">
        <f>IF(H36=0,0,IF(直圧式水理計算書!I34=0,0,直圧式水理計算書!I34))</f>
        <v>0</v>
      </c>
      <c r="K36" s="187" t="str">
        <f t="shared" si="19"/>
        <v/>
      </c>
      <c r="L36" s="186">
        <f t="shared" si="20"/>
        <v>0</v>
      </c>
      <c r="M36" s="185">
        <f t="shared" si="22"/>
        <v>0</v>
      </c>
      <c r="N36" s="89"/>
      <c r="P36" s="10" t="s">
        <v>125</v>
      </c>
      <c r="R36" s="194">
        <f t="shared" si="25"/>
        <v>0</v>
      </c>
      <c r="S36" s="181">
        <f t="shared" si="26"/>
        <v>0</v>
      </c>
      <c r="T36" s="191">
        <f t="shared" si="21"/>
        <v>0</v>
      </c>
      <c r="U36" s="191">
        <f t="shared" si="27"/>
        <v>0</v>
      </c>
      <c r="V36" s="193">
        <f t="shared" si="23"/>
        <v>0</v>
      </c>
      <c r="W36" s="192">
        <f t="shared" si="24"/>
        <v>0</v>
      </c>
      <c r="X36" s="191">
        <f t="shared" si="28"/>
        <v>0</v>
      </c>
      <c r="Y36" s="191">
        <f t="shared" si="29"/>
        <v>0</v>
      </c>
    </row>
    <row r="37" spans="1:29" ht="14.25" customHeight="1" x14ac:dyDescent="0.15">
      <c r="A37" s="76"/>
      <c r="C37" s="414"/>
      <c r="D37" s="219"/>
      <c r="E37" s="178" t="s">
        <v>315</v>
      </c>
      <c r="F37" s="177" t="s">
        <v>414</v>
      </c>
      <c r="G37" s="176" t="s">
        <v>417</v>
      </c>
      <c r="H37" s="189"/>
      <c r="I37" s="188">
        <f>IF(H37=0,0,IF(直圧式水理計算書!G35=0,0,直圧式水理計算書!G35))</f>
        <v>0</v>
      </c>
      <c r="J37" s="187">
        <f>IF(H37=0,0,IF(直圧式水理計算書!I35=0,0,直圧式水理計算書!I35))</f>
        <v>0</v>
      </c>
      <c r="K37" s="187" t="str">
        <f t="shared" si="19"/>
        <v/>
      </c>
      <c r="L37" s="186">
        <f t="shared" si="20"/>
        <v>0</v>
      </c>
      <c r="M37" s="185">
        <f t="shared" si="22"/>
        <v>0</v>
      </c>
      <c r="N37" s="89"/>
      <c r="P37" s="10" t="s">
        <v>126</v>
      </c>
      <c r="R37" s="194">
        <f t="shared" si="25"/>
        <v>0</v>
      </c>
      <c r="S37" s="181">
        <f t="shared" si="26"/>
        <v>0</v>
      </c>
      <c r="T37" s="191">
        <f t="shared" si="21"/>
        <v>0</v>
      </c>
      <c r="U37" s="191">
        <f t="shared" si="27"/>
        <v>0</v>
      </c>
      <c r="V37" s="193">
        <f t="shared" si="23"/>
        <v>0</v>
      </c>
      <c r="W37" s="192">
        <f t="shared" si="24"/>
        <v>0</v>
      </c>
      <c r="X37" s="191">
        <f t="shared" si="28"/>
        <v>0</v>
      </c>
      <c r="Y37" s="191">
        <f t="shared" si="29"/>
        <v>0</v>
      </c>
    </row>
    <row r="38" spans="1:29" ht="14.25" customHeight="1" x14ac:dyDescent="0.15">
      <c r="A38" s="76"/>
      <c r="C38" s="414"/>
      <c r="D38" s="219"/>
      <c r="E38" s="178" t="s">
        <v>316</v>
      </c>
      <c r="F38" s="177" t="s">
        <v>354</v>
      </c>
      <c r="G38" s="176" t="s">
        <v>317</v>
      </c>
      <c r="H38" s="189"/>
      <c r="I38" s="188">
        <f>IF(H38=0,0,IF(直圧式水理計算書!G36=0,0,直圧式水理計算書!G36))</f>
        <v>0</v>
      </c>
      <c r="J38" s="187">
        <f>IF(H38=0,0,IF(直圧式水理計算書!I36=0,0,直圧式水理計算書!I36))</f>
        <v>0</v>
      </c>
      <c r="K38" s="187" t="str">
        <f t="shared" si="19"/>
        <v/>
      </c>
      <c r="L38" s="186">
        <f t="shared" si="20"/>
        <v>0</v>
      </c>
      <c r="M38" s="185">
        <f t="shared" si="22"/>
        <v>0</v>
      </c>
      <c r="N38" s="89"/>
      <c r="P38" s="10" t="s">
        <v>127</v>
      </c>
      <c r="R38" s="194">
        <f t="shared" si="25"/>
        <v>0</v>
      </c>
      <c r="S38" s="181">
        <f t="shared" si="26"/>
        <v>0</v>
      </c>
      <c r="T38" s="191">
        <f t="shared" si="21"/>
        <v>0</v>
      </c>
      <c r="U38" s="191">
        <f t="shared" si="27"/>
        <v>0</v>
      </c>
      <c r="V38" s="193">
        <f t="shared" si="23"/>
        <v>0</v>
      </c>
      <c r="W38" s="192">
        <f t="shared" si="24"/>
        <v>0</v>
      </c>
      <c r="X38" s="191">
        <f t="shared" si="28"/>
        <v>0</v>
      </c>
      <c r="Y38" s="191">
        <f t="shared" si="29"/>
        <v>0</v>
      </c>
    </row>
    <row r="39" spans="1:29" ht="14.25" customHeight="1" x14ac:dyDescent="0.15">
      <c r="A39" s="76"/>
      <c r="C39" s="414"/>
      <c r="D39" s="219"/>
      <c r="E39" s="178" t="s">
        <v>317</v>
      </c>
      <c r="F39" s="177" t="s">
        <v>354</v>
      </c>
      <c r="G39" s="176" t="s">
        <v>418</v>
      </c>
      <c r="H39" s="189"/>
      <c r="I39" s="188">
        <f>IF(H39=0,0,IF(直圧式水理計算書!G37=0,0,直圧式水理計算書!G37))</f>
        <v>0</v>
      </c>
      <c r="J39" s="187">
        <f>IF(H39=0,0,IF(直圧式水理計算書!I37=0,0,直圧式水理計算書!I37))</f>
        <v>0</v>
      </c>
      <c r="K39" s="187" t="str">
        <f t="shared" si="19"/>
        <v/>
      </c>
      <c r="L39" s="186">
        <f t="shared" si="20"/>
        <v>0</v>
      </c>
      <c r="M39" s="185">
        <f t="shared" si="22"/>
        <v>0</v>
      </c>
      <c r="N39" s="89"/>
      <c r="P39" s="10" t="s">
        <v>419</v>
      </c>
      <c r="R39" s="194">
        <f t="shared" si="25"/>
        <v>0</v>
      </c>
      <c r="S39" s="181">
        <f t="shared" si="26"/>
        <v>0</v>
      </c>
      <c r="T39" s="191">
        <f t="shared" si="21"/>
        <v>0</v>
      </c>
      <c r="U39" s="191">
        <f t="shared" si="27"/>
        <v>0</v>
      </c>
      <c r="V39" s="193">
        <f t="shared" si="23"/>
        <v>0</v>
      </c>
      <c r="W39" s="192">
        <f t="shared" si="24"/>
        <v>0</v>
      </c>
      <c r="X39" s="191">
        <f t="shared" si="28"/>
        <v>0</v>
      </c>
      <c r="Y39" s="191">
        <f t="shared" si="29"/>
        <v>0</v>
      </c>
    </row>
    <row r="40" spans="1:29" ht="14.25" customHeight="1" x14ac:dyDescent="0.15">
      <c r="A40" s="76"/>
      <c r="C40" s="414"/>
      <c r="D40" s="219"/>
      <c r="E40" s="178" t="s">
        <v>418</v>
      </c>
      <c r="F40" s="177" t="s">
        <v>354</v>
      </c>
      <c r="G40" s="176" t="s">
        <v>420</v>
      </c>
      <c r="H40" s="189"/>
      <c r="I40" s="188">
        <f>IF(H40=0,0,IF(直圧式水理計算書!G38=0,0,直圧式水理計算書!G38))</f>
        <v>0</v>
      </c>
      <c r="J40" s="187">
        <f>IF(H40=0,0,IF(直圧式水理計算書!I38=0,0,直圧式水理計算書!I38))</f>
        <v>0</v>
      </c>
      <c r="K40" s="187" t="str">
        <f t="shared" si="19"/>
        <v/>
      </c>
      <c r="L40" s="186">
        <f t="shared" si="20"/>
        <v>0</v>
      </c>
      <c r="M40" s="185">
        <f t="shared" si="22"/>
        <v>0</v>
      </c>
      <c r="N40" s="89"/>
      <c r="R40" s="194">
        <f t="shared" si="25"/>
        <v>0</v>
      </c>
      <c r="S40" s="181">
        <f t="shared" si="26"/>
        <v>0</v>
      </c>
      <c r="T40" s="191">
        <f t="shared" si="21"/>
        <v>0</v>
      </c>
      <c r="U40" s="191">
        <f t="shared" si="27"/>
        <v>0</v>
      </c>
      <c r="V40" s="193">
        <f t="shared" si="23"/>
        <v>0</v>
      </c>
      <c r="W40" s="192">
        <f t="shared" si="24"/>
        <v>0</v>
      </c>
      <c r="X40" s="191">
        <f t="shared" si="28"/>
        <v>0</v>
      </c>
      <c r="Y40" s="191">
        <f t="shared" si="29"/>
        <v>0</v>
      </c>
    </row>
    <row r="41" spans="1:29" ht="14.25" customHeight="1" x14ac:dyDescent="0.15">
      <c r="A41" s="76"/>
      <c r="C41" s="414"/>
      <c r="D41" s="219"/>
      <c r="E41" s="178" t="s">
        <v>318</v>
      </c>
      <c r="F41" s="177" t="s">
        <v>311</v>
      </c>
      <c r="G41" s="176" t="s">
        <v>319</v>
      </c>
      <c r="H41" s="189"/>
      <c r="I41" s="188">
        <f>IF(H41=0,0,IF(直圧式水理計算書!G39=0,0,直圧式水理計算書!G39))</f>
        <v>0</v>
      </c>
      <c r="J41" s="187">
        <f>IF(H41=0,0,IF(直圧式水理計算書!I39=0,0,直圧式水理計算書!I39))</f>
        <v>0</v>
      </c>
      <c r="K41" s="187" t="str">
        <f t="shared" si="19"/>
        <v/>
      </c>
      <c r="L41" s="186">
        <f t="shared" si="20"/>
        <v>0</v>
      </c>
      <c r="M41" s="185">
        <f t="shared" si="22"/>
        <v>0</v>
      </c>
      <c r="N41" s="89"/>
      <c r="P41" s="10"/>
      <c r="R41" s="194">
        <f t="shared" si="25"/>
        <v>0</v>
      </c>
      <c r="S41" s="181">
        <f t="shared" si="26"/>
        <v>0</v>
      </c>
      <c r="T41" s="191">
        <f t="shared" si="21"/>
        <v>0</v>
      </c>
      <c r="U41" s="191">
        <f t="shared" si="27"/>
        <v>0</v>
      </c>
      <c r="V41" s="193">
        <f t="shared" si="23"/>
        <v>0</v>
      </c>
      <c r="W41" s="192">
        <f t="shared" si="24"/>
        <v>0</v>
      </c>
      <c r="X41" s="191">
        <f t="shared" si="28"/>
        <v>0</v>
      </c>
      <c r="Y41" s="191">
        <f t="shared" si="29"/>
        <v>0</v>
      </c>
    </row>
    <row r="42" spans="1:29" ht="14.25" customHeight="1" x14ac:dyDescent="0.15">
      <c r="A42" s="76"/>
      <c r="C42" s="414"/>
      <c r="D42" s="219"/>
      <c r="E42" s="178" t="s">
        <v>421</v>
      </c>
      <c r="F42" s="177" t="s">
        <v>354</v>
      </c>
      <c r="G42" s="176" t="s">
        <v>384</v>
      </c>
      <c r="H42" s="189"/>
      <c r="I42" s="188">
        <f>IF(H42=0,0,IF(直圧式水理計算書!G40=0,0,直圧式水理計算書!G40))</f>
        <v>0</v>
      </c>
      <c r="J42" s="187">
        <f>IF(H42=0,0,IF(直圧式水理計算書!I40=0,0,直圧式水理計算書!I40))</f>
        <v>0</v>
      </c>
      <c r="K42" s="187" t="str">
        <f t="shared" si="19"/>
        <v/>
      </c>
      <c r="L42" s="186">
        <f t="shared" si="20"/>
        <v>0</v>
      </c>
      <c r="M42" s="185">
        <f t="shared" si="22"/>
        <v>0</v>
      </c>
      <c r="N42" s="89"/>
      <c r="P42" s="10"/>
      <c r="R42" s="194">
        <f t="shared" si="25"/>
        <v>0</v>
      </c>
      <c r="S42" s="181">
        <f t="shared" si="26"/>
        <v>0</v>
      </c>
      <c r="T42" s="191">
        <f t="shared" si="21"/>
        <v>0</v>
      </c>
      <c r="U42" s="191">
        <f t="shared" si="27"/>
        <v>0</v>
      </c>
      <c r="V42" s="193">
        <f t="shared" si="23"/>
        <v>0</v>
      </c>
      <c r="W42" s="192">
        <f t="shared" si="24"/>
        <v>0</v>
      </c>
      <c r="X42" s="191">
        <f t="shared" si="28"/>
        <v>0</v>
      </c>
      <c r="Y42" s="191">
        <f t="shared" si="29"/>
        <v>0</v>
      </c>
    </row>
    <row r="43" spans="1:29" ht="14.25" customHeight="1" x14ac:dyDescent="0.15">
      <c r="A43" s="76"/>
      <c r="C43" s="414"/>
      <c r="D43" s="219"/>
      <c r="E43" s="178" t="s">
        <v>422</v>
      </c>
      <c r="F43" s="177" t="s">
        <v>311</v>
      </c>
      <c r="G43" s="176" t="s">
        <v>320</v>
      </c>
      <c r="H43" s="189"/>
      <c r="I43" s="188">
        <f>IF(H43=0,0,IF(直圧式水理計算書!G41=0,0,直圧式水理計算書!G41))</f>
        <v>0</v>
      </c>
      <c r="J43" s="187">
        <f>IF(H43=0,0,IF(直圧式水理計算書!I41=0,0,直圧式水理計算書!I41))</f>
        <v>0</v>
      </c>
      <c r="K43" s="187" t="str">
        <f t="shared" si="19"/>
        <v/>
      </c>
      <c r="L43" s="186">
        <f t="shared" si="20"/>
        <v>0</v>
      </c>
      <c r="M43" s="185">
        <f t="shared" si="22"/>
        <v>0</v>
      </c>
      <c r="N43" s="89"/>
      <c r="P43" s="10"/>
      <c r="R43" s="194">
        <f t="shared" si="25"/>
        <v>0</v>
      </c>
      <c r="S43" s="181">
        <f t="shared" si="26"/>
        <v>0</v>
      </c>
      <c r="T43" s="191">
        <f t="shared" si="21"/>
        <v>0</v>
      </c>
      <c r="U43" s="191">
        <f t="shared" si="27"/>
        <v>0</v>
      </c>
      <c r="V43" s="193">
        <f t="shared" si="23"/>
        <v>0</v>
      </c>
      <c r="W43" s="192">
        <f t="shared" si="24"/>
        <v>0</v>
      </c>
      <c r="X43" s="191">
        <f t="shared" si="28"/>
        <v>0</v>
      </c>
      <c r="Y43" s="191">
        <f t="shared" si="29"/>
        <v>0</v>
      </c>
    </row>
    <row r="44" spans="1:29" ht="14.25" customHeight="1" x14ac:dyDescent="0.15">
      <c r="A44" s="76"/>
      <c r="C44" s="414"/>
      <c r="D44" s="219"/>
      <c r="E44" s="178" t="s">
        <v>385</v>
      </c>
      <c r="F44" s="177" t="s">
        <v>354</v>
      </c>
      <c r="G44" s="176" t="s">
        <v>321</v>
      </c>
      <c r="H44" s="189"/>
      <c r="I44" s="188">
        <f>IF(H44=0,0,IF(直圧式水理計算書!G42=0,0,直圧式水理計算書!G42))</f>
        <v>0</v>
      </c>
      <c r="J44" s="187">
        <f>IF(H44=0,0,IF(直圧式水理計算書!I42=0,0,直圧式水理計算書!I42))</f>
        <v>0</v>
      </c>
      <c r="K44" s="187" t="str">
        <f t="shared" si="19"/>
        <v/>
      </c>
      <c r="L44" s="186">
        <f t="shared" si="20"/>
        <v>0</v>
      </c>
      <c r="M44" s="185">
        <f t="shared" si="22"/>
        <v>0</v>
      </c>
      <c r="N44" s="89"/>
      <c r="P44" s="10"/>
      <c r="R44" s="184">
        <f t="shared" si="25"/>
        <v>0</v>
      </c>
      <c r="S44" s="183">
        <f t="shared" si="26"/>
        <v>0</v>
      </c>
      <c r="T44" s="180">
        <f t="shared" si="21"/>
        <v>0</v>
      </c>
      <c r="U44" s="180">
        <f t="shared" si="27"/>
        <v>0</v>
      </c>
      <c r="V44" s="182">
        <f t="shared" si="23"/>
        <v>0</v>
      </c>
      <c r="W44" s="181">
        <f t="shared" si="24"/>
        <v>0</v>
      </c>
      <c r="X44" s="180">
        <f t="shared" si="28"/>
        <v>0</v>
      </c>
      <c r="Y44" s="180">
        <f t="shared" si="29"/>
        <v>0</v>
      </c>
    </row>
    <row r="45" spans="1:29" ht="14.25" customHeight="1" x14ac:dyDescent="0.15">
      <c r="A45" s="76"/>
      <c r="C45" s="414"/>
      <c r="D45" s="179"/>
      <c r="E45" s="178" t="s">
        <v>321</v>
      </c>
      <c r="F45" s="177" t="s">
        <v>311</v>
      </c>
      <c r="G45" s="176" t="s">
        <v>343</v>
      </c>
      <c r="H45" s="189"/>
      <c r="I45" s="188">
        <f>IF(H45=0,0,IF(直圧式水理計算書!G43=0,0,直圧式水理計算書!G43))</f>
        <v>0</v>
      </c>
      <c r="J45" s="187">
        <f>IF(H45=0,0,IF(直圧式水理計算書!I43=0,0,直圧式水理計算書!I43))</f>
        <v>0</v>
      </c>
      <c r="K45" s="187" t="str">
        <f t="shared" si="19"/>
        <v/>
      </c>
      <c r="L45" s="186">
        <f t="shared" si="20"/>
        <v>0</v>
      </c>
      <c r="M45" s="185">
        <f t="shared" si="22"/>
        <v>0</v>
      </c>
      <c r="N45" s="89"/>
      <c r="P45" s="10"/>
      <c r="R45" s="184">
        <f t="shared" si="25"/>
        <v>0</v>
      </c>
      <c r="S45" s="183">
        <f t="shared" si="26"/>
        <v>0</v>
      </c>
      <c r="T45" s="180">
        <f t="shared" si="21"/>
        <v>0</v>
      </c>
      <c r="U45" s="180">
        <f t="shared" si="27"/>
        <v>0</v>
      </c>
      <c r="V45" s="182">
        <f t="shared" si="23"/>
        <v>0</v>
      </c>
      <c r="W45" s="181">
        <f t="shared" si="24"/>
        <v>0</v>
      </c>
      <c r="X45" s="180">
        <f t="shared" si="28"/>
        <v>0</v>
      </c>
      <c r="Y45" s="180">
        <f t="shared" si="29"/>
        <v>0</v>
      </c>
    </row>
    <row r="46" spans="1:29" ht="14.25" customHeight="1" x14ac:dyDescent="0.15">
      <c r="A46" s="76"/>
      <c r="C46" s="414"/>
      <c r="D46" s="179"/>
      <c r="E46" s="178" t="s">
        <v>343</v>
      </c>
      <c r="F46" s="177" t="s">
        <v>354</v>
      </c>
      <c r="G46" s="176" t="s">
        <v>390</v>
      </c>
      <c r="H46" s="189"/>
      <c r="I46" s="188">
        <f>IF(H46=0,0,IF(直圧式水理計算書!G44=0,0,直圧式水理計算書!G44))</f>
        <v>0</v>
      </c>
      <c r="J46" s="187">
        <f>IF(H46=0,0,IF(直圧式水理計算書!I44=0,0,直圧式水理計算書!I44))</f>
        <v>0</v>
      </c>
      <c r="K46" s="187" t="str">
        <f t="shared" si="19"/>
        <v/>
      </c>
      <c r="L46" s="186">
        <f t="shared" si="20"/>
        <v>0</v>
      </c>
      <c r="M46" s="185">
        <f t="shared" si="22"/>
        <v>0</v>
      </c>
      <c r="N46" s="89"/>
      <c r="P46" s="10"/>
      <c r="R46" s="184">
        <f t="shared" si="25"/>
        <v>0</v>
      </c>
      <c r="S46" s="183">
        <f t="shared" si="26"/>
        <v>0</v>
      </c>
      <c r="T46" s="180">
        <f t="shared" si="21"/>
        <v>0</v>
      </c>
      <c r="U46" s="180">
        <f t="shared" si="27"/>
        <v>0</v>
      </c>
      <c r="V46" s="182">
        <f t="shared" si="23"/>
        <v>0</v>
      </c>
      <c r="W46" s="181">
        <f t="shared" si="24"/>
        <v>0</v>
      </c>
      <c r="X46" s="180">
        <f t="shared" si="28"/>
        <v>0</v>
      </c>
      <c r="Y46" s="180">
        <f t="shared" si="29"/>
        <v>0</v>
      </c>
    </row>
    <row r="47" spans="1:29" ht="14.25" customHeight="1" x14ac:dyDescent="0.15">
      <c r="A47" s="76"/>
      <c r="C47" s="414"/>
      <c r="D47" s="179"/>
      <c r="E47" s="178" t="s">
        <v>423</v>
      </c>
      <c r="F47" s="177" t="s">
        <v>311</v>
      </c>
      <c r="G47" s="176" t="s">
        <v>342</v>
      </c>
      <c r="H47" s="189"/>
      <c r="I47" s="188">
        <f>IF(H47=0,0,IF(直圧式水理計算書!G45=0,0,直圧式水理計算書!G45))</f>
        <v>0</v>
      </c>
      <c r="J47" s="187">
        <f>IF(H47=0,0,IF(直圧式水理計算書!I45=0,0,直圧式水理計算書!I45))</f>
        <v>0</v>
      </c>
      <c r="K47" s="187" t="str">
        <f t="shared" si="19"/>
        <v/>
      </c>
      <c r="L47" s="186">
        <f t="shared" si="20"/>
        <v>0</v>
      </c>
      <c r="M47" s="185">
        <f t="shared" si="22"/>
        <v>0</v>
      </c>
      <c r="N47" s="89"/>
      <c r="P47" s="10"/>
      <c r="R47" s="184">
        <f t="shared" si="25"/>
        <v>0</v>
      </c>
      <c r="S47" s="183">
        <f t="shared" si="26"/>
        <v>0</v>
      </c>
      <c r="T47" s="180">
        <f t="shared" si="21"/>
        <v>0</v>
      </c>
      <c r="U47" s="180">
        <f t="shared" si="27"/>
        <v>0</v>
      </c>
      <c r="V47" s="182">
        <f t="shared" si="23"/>
        <v>0</v>
      </c>
      <c r="W47" s="181">
        <f t="shared" si="24"/>
        <v>0</v>
      </c>
      <c r="X47" s="180">
        <f t="shared" si="28"/>
        <v>0</v>
      </c>
      <c r="Y47" s="180">
        <f t="shared" si="29"/>
        <v>0</v>
      </c>
    </row>
    <row r="48" spans="1:29" ht="14.25" customHeight="1" x14ac:dyDescent="0.15">
      <c r="A48" s="76"/>
      <c r="C48" s="414"/>
      <c r="D48" s="179"/>
      <c r="E48" s="178" t="s">
        <v>342</v>
      </c>
      <c r="F48" s="177" t="s">
        <v>311</v>
      </c>
      <c r="G48" s="176" t="s">
        <v>424</v>
      </c>
      <c r="H48" s="189"/>
      <c r="I48" s="188">
        <f>IF(H48=0,0,IF(直圧式水理計算書!G46=0,0,直圧式水理計算書!G46))</f>
        <v>0</v>
      </c>
      <c r="J48" s="187">
        <f>IF(H48=0,0,IF(直圧式水理計算書!I46=0,0,直圧式水理計算書!I46))</f>
        <v>0</v>
      </c>
      <c r="K48" s="187" t="str">
        <f t="shared" si="19"/>
        <v/>
      </c>
      <c r="L48" s="186">
        <f t="shared" si="20"/>
        <v>0</v>
      </c>
      <c r="M48" s="185">
        <f t="shared" si="22"/>
        <v>0</v>
      </c>
      <c r="N48" s="89"/>
      <c r="P48" s="10"/>
      <c r="R48" s="184">
        <f t="shared" si="25"/>
        <v>0</v>
      </c>
      <c r="S48" s="183">
        <f t="shared" si="26"/>
        <v>0</v>
      </c>
      <c r="T48" s="180">
        <f t="shared" si="21"/>
        <v>0</v>
      </c>
      <c r="U48" s="180">
        <f t="shared" si="27"/>
        <v>0</v>
      </c>
      <c r="V48" s="182">
        <f t="shared" si="23"/>
        <v>0</v>
      </c>
      <c r="W48" s="181">
        <f t="shared" si="24"/>
        <v>0</v>
      </c>
      <c r="X48" s="180">
        <f t="shared" si="28"/>
        <v>0</v>
      </c>
      <c r="Y48" s="180">
        <f t="shared" si="29"/>
        <v>0</v>
      </c>
      <c r="AA48" s="77" t="s">
        <v>30</v>
      </c>
    </row>
    <row r="49" spans="1:36" ht="14.25" customHeight="1" x14ac:dyDescent="0.15">
      <c r="A49" s="76"/>
      <c r="C49" s="414"/>
      <c r="D49" s="179"/>
      <c r="E49" s="178" t="s">
        <v>424</v>
      </c>
      <c r="F49" s="177" t="s">
        <v>311</v>
      </c>
      <c r="G49" s="176" t="s">
        <v>394</v>
      </c>
      <c r="H49" s="175"/>
      <c r="I49" s="188">
        <f>IF(H49=0,0,IF(直圧式水理計算書!G47=0,0,直圧式水理計算書!G47))</f>
        <v>0</v>
      </c>
      <c r="J49" s="173">
        <f>IF(H49=0,0,IF(直圧式水理計算書!I47=0,0,直圧式水理計算書!I47))</f>
        <v>0</v>
      </c>
      <c r="K49" s="173" t="str">
        <f t="shared" si="19"/>
        <v/>
      </c>
      <c r="L49" s="172">
        <f t="shared" si="20"/>
        <v>0</v>
      </c>
      <c r="M49" s="171">
        <f t="shared" si="22"/>
        <v>0</v>
      </c>
      <c r="N49" s="89"/>
      <c r="P49" s="10"/>
      <c r="R49" s="170">
        <f t="shared" si="25"/>
        <v>0</v>
      </c>
      <c r="S49" s="168">
        <f t="shared" si="26"/>
        <v>0</v>
      </c>
      <c r="T49" s="167">
        <f t="shared" si="21"/>
        <v>0</v>
      </c>
      <c r="U49" s="167">
        <f t="shared" si="27"/>
        <v>0</v>
      </c>
      <c r="V49" s="169">
        <f t="shared" si="23"/>
        <v>0</v>
      </c>
      <c r="W49" s="168">
        <f t="shared" si="24"/>
        <v>0</v>
      </c>
      <c r="X49" s="167">
        <f t="shared" si="28"/>
        <v>0</v>
      </c>
      <c r="Y49" s="167">
        <f t="shared" si="29"/>
        <v>0</v>
      </c>
      <c r="AA49" s="217" t="s">
        <v>2</v>
      </c>
      <c r="AB49" s="217" t="s">
        <v>29</v>
      </c>
      <c r="AC49" s="217" t="s">
        <v>41</v>
      </c>
      <c r="AD49" s="217" t="s">
        <v>5</v>
      </c>
      <c r="AE49" s="217" t="s">
        <v>304</v>
      </c>
      <c r="AF49" s="217" t="s">
        <v>31</v>
      </c>
      <c r="AG49" s="218" t="s">
        <v>425</v>
      </c>
      <c r="AH49" s="218" t="s">
        <v>426</v>
      </c>
      <c r="AI49" s="134" t="s">
        <v>427</v>
      </c>
      <c r="AJ49" s="217" t="s">
        <v>49</v>
      </c>
    </row>
    <row r="50" spans="1:36" ht="14.25" customHeight="1" x14ac:dyDescent="0.15">
      <c r="A50" s="76"/>
      <c r="C50" s="415"/>
      <c r="D50" s="108"/>
      <c r="E50" s="419" t="s">
        <v>48</v>
      </c>
      <c r="F50" s="420"/>
      <c r="G50" s="420"/>
      <c r="H50" s="166">
        <f>SUM(H25:H49)</f>
        <v>0</v>
      </c>
      <c r="I50" s="165"/>
      <c r="J50" s="165"/>
      <c r="K50" s="164"/>
      <c r="L50" s="163">
        <f>SUM(L25:L49)</f>
        <v>0</v>
      </c>
      <c r="M50" s="162">
        <f>SUM(M25:M49)</f>
        <v>0</v>
      </c>
      <c r="N50" s="89"/>
      <c r="O50" s="81"/>
      <c r="P50" s="9" t="s">
        <v>128</v>
      </c>
      <c r="R50" s="77">
        <f>IF($I50="",0,VLOOKUP($I50,$AA$8:$AC$19,2))</f>
        <v>0</v>
      </c>
      <c r="S50" s="77">
        <f>IF($I50="",0,VLOOKUP($I50,$AA$24:$AC$35,3))</f>
        <v>0</v>
      </c>
      <c r="T50" s="77">
        <f>J50/1000</f>
        <v>0</v>
      </c>
      <c r="AA50" s="137">
        <v>13</v>
      </c>
      <c r="AB50" s="166">
        <v>2.1</v>
      </c>
      <c r="AC50" s="196"/>
      <c r="AD50" s="200">
        <v>2</v>
      </c>
      <c r="AE50" s="108">
        <v>3.3</v>
      </c>
      <c r="AF50" s="108">
        <v>0.12</v>
      </c>
      <c r="AG50" s="166">
        <v>0.6</v>
      </c>
      <c r="AH50" s="166">
        <v>0.5</v>
      </c>
      <c r="AI50" s="196">
        <v>0.6</v>
      </c>
      <c r="AJ50" s="196">
        <v>3.3</v>
      </c>
    </row>
    <row r="51" spans="1:36" ht="14.25" customHeight="1" x14ac:dyDescent="0.15">
      <c r="A51" s="76"/>
      <c r="D51" s="215"/>
      <c r="E51" s="215"/>
      <c r="F51" s="215"/>
      <c r="G51" s="215"/>
      <c r="H51" s="215"/>
      <c r="I51" s="215"/>
      <c r="J51" s="215"/>
      <c r="K51" s="215"/>
      <c r="L51" s="216"/>
      <c r="M51" s="215"/>
      <c r="N51" s="89"/>
      <c r="P51" s="10" t="s">
        <v>129</v>
      </c>
      <c r="R51" s="362" t="s">
        <v>142</v>
      </c>
      <c r="S51" s="363"/>
      <c r="T51" s="363"/>
      <c r="U51" s="412"/>
      <c r="V51" s="365" t="s">
        <v>143</v>
      </c>
      <c r="W51" s="366"/>
      <c r="X51" s="366"/>
      <c r="Y51" s="364"/>
      <c r="AA51" s="137">
        <v>20</v>
      </c>
      <c r="AB51" s="166">
        <v>3.1</v>
      </c>
      <c r="AC51" s="196"/>
      <c r="AD51" s="200">
        <v>5</v>
      </c>
      <c r="AE51" s="108">
        <v>6.5</v>
      </c>
      <c r="AF51" s="108">
        <v>0.15</v>
      </c>
      <c r="AG51" s="166">
        <v>0.7</v>
      </c>
      <c r="AH51" s="166">
        <v>0.5</v>
      </c>
      <c r="AI51" s="196">
        <v>0.12</v>
      </c>
      <c r="AJ51" s="196">
        <v>4.9000000000000004</v>
      </c>
    </row>
    <row r="52" spans="1:36" ht="14.25" customHeight="1" x14ac:dyDescent="0.15">
      <c r="A52" s="76"/>
      <c r="C52" s="413" t="s">
        <v>428</v>
      </c>
      <c r="D52" s="214"/>
      <c r="E52" s="416" t="s">
        <v>61</v>
      </c>
      <c r="F52" s="417"/>
      <c r="G52" s="418"/>
      <c r="H52" s="213" t="s">
        <v>33</v>
      </c>
      <c r="I52" s="213" t="s">
        <v>34</v>
      </c>
      <c r="J52" s="213" t="s">
        <v>52</v>
      </c>
      <c r="K52" s="213" t="s">
        <v>1</v>
      </c>
      <c r="L52" s="213" t="s">
        <v>0</v>
      </c>
      <c r="M52" s="213" t="s">
        <v>54</v>
      </c>
      <c r="N52" s="89"/>
      <c r="P52" s="10" t="s">
        <v>130</v>
      </c>
      <c r="R52" s="212" t="s">
        <v>25</v>
      </c>
      <c r="S52" s="211" t="s">
        <v>26</v>
      </c>
      <c r="T52" s="210" t="s">
        <v>322</v>
      </c>
      <c r="U52" s="134" t="s">
        <v>1</v>
      </c>
      <c r="V52" s="212" t="s">
        <v>25</v>
      </c>
      <c r="W52" s="211" t="s">
        <v>26</v>
      </c>
      <c r="X52" s="210" t="s">
        <v>322</v>
      </c>
      <c r="Y52" s="134" t="s">
        <v>1</v>
      </c>
      <c r="AA52" s="137">
        <v>25</v>
      </c>
      <c r="AB52" s="166">
        <v>7.3</v>
      </c>
      <c r="AC52" s="196"/>
      <c r="AD52" s="200">
        <v>5.0999999999999996</v>
      </c>
      <c r="AE52" s="108">
        <v>21.1</v>
      </c>
      <c r="AF52" s="108">
        <v>0.18</v>
      </c>
      <c r="AG52" s="166">
        <v>0.9</v>
      </c>
      <c r="AH52" s="200">
        <v>1</v>
      </c>
      <c r="AI52" s="196">
        <v>0.4</v>
      </c>
      <c r="AJ52" s="196">
        <v>5.7</v>
      </c>
    </row>
    <row r="53" spans="1:36" ht="14.25" customHeight="1" x14ac:dyDescent="0.15">
      <c r="A53" s="76"/>
      <c r="C53" s="414"/>
      <c r="D53" s="190"/>
      <c r="E53" s="209" t="s">
        <v>353</v>
      </c>
      <c r="F53" s="177" t="s">
        <v>354</v>
      </c>
      <c r="G53" s="208" t="s">
        <v>355</v>
      </c>
      <c r="H53" s="207"/>
      <c r="I53" s="206">
        <f>IF(H53=0,0,IF(直圧式水理計算書!G23=0,0,直圧式水理計算書!G23))</f>
        <v>0</v>
      </c>
      <c r="J53" s="205">
        <f>IF(H53=0,0,IF(直圧式水理計算書!I23=0,0,直圧式水理計算書!I23))</f>
        <v>0</v>
      </c>
      <c r="K53" s="205" t="str">
        <f t="shared" ref="K53:K77" si="30">IF(H53=0,"",Y53)</f>
        <v/>
      </c>
      <c r="L53" s="204">
        <f t="shared" ref="L53:L77" si="31">IF(H53=0,0,(VLOOKUP($I53,$AA$50:$AJ$58,8))*H53)</f>
        <v>0</v>
      </c>
      <c r="M53" s="203">
        <f t="shared" ref="M53:M77" si="32">IF(J53=0,0,IF(I53&lt;=50,(ROUND((0.0126+(0.01739-0.1087*R53)/SQRT(U53))*L53*POWER(U53,2)/R53/2/9.8,3)),(ROUND(10.666*POWER(110,-1.85)*POWER(R53,-4.87)*POWER(T53,1.85)*L53,3))))</f>
        <v>0</v>
      </c>
      <c r="N53" s="89"/>
      <c r="P53" s="10" t="s">
        <v>131</v>
      </c>
      <c r="R53" s="194">
        <f t="shared" ref="R53:R77" si="33">IF($I53=0,0,VLOOKUP($I53,$AA$24:$AC$35,2))</f>
        <v>0</v>
      </c>
      <c r="S53" s="181">
        <f t="shared" ref="S53:S77" si="34">IF($I53=0,0,VLOOKUP($I53,$AA$24:$AC$35,3))</f>
        <v>0</v>
      </c>
      <c r="T53" s="191">
        <f t="shared" ref="T53:T77" si="35">J53/1000</f>
        <v>0</v>
      </c>
      <c r="U53" s="191">
        <f>IF(S53=0,0,ROUND(T53/S53,2))</f>
        <v>0</v>
      </c>
      <c r="V53" s="193">
        <f t="shared" ref="V53:V77" si="36">IF($I53=0,0,VLOOKUP($I53,$AA$8:$AC$19,2))</f>
        <v>0</v>
      </c>
      <c r="W53" s="192">
        <f t="shared" ref="W53:W77" si="37">IF($I53=0,0,VLOOKUP($I53,$AA$8:$AC$19,3))</f>
        <v>0</v>
      </c>
      <c r="X53" s="202">
        <f>J53/1000</f>
        <v>0</v>
      </c>
      <c r="Y53" s="202">
        <f>IF(W53=0,0,ROUND(X53/W53,2))</f>
        <v>0</v>
      </c>
      <c r="AA53" s="137">
        <v>30</v>
      </c>
      <c r="AB53" s="166">
        <v>3.2</v>
      </c>
      <c r="AC53" s="196"/>
      <c r="AD53" s="200">
        <v>0.8</v>
      </c>
      <c r="AE53" s="108">
        <v>14.3</v>
      </c>
      <c r="AF53" s="108">
        <v>0.24</v>
      </c>
      <c r="AG53" s="166">
        <v>1.2</v>
      </c>
      <c r="AH53" s="200">
        <v>1</v>
      </c>
      <c r="AI53" s="196">
        <v>0.7</v>
      </c>
      <c r="AJ53" s="196">
        <v>8.5</v>
      </c>
    </row>
    <row r="54" spans="1:36" ht="14.25" customHeight="1" x14ac:dyDescent="0.15">
      <c r="A54" s="76"/>
      <c r="C54" s="414"/>
      <c r="D54" s="190"/>
      <c r="E54" s="254" t="s">
        <v>38</v>
      </c>
      <c r="F54" s="177" t="s">
        <v>354</v>
      </c>
      <c r="G54" s="127" t="s">
        <v>39</v>
      </c>
      <c r="H54" s="257"/>
      <c r="I54" s="188">
        <f>IF(H54=0,0,IF(直圧式水理計算書!G24=0,0,直圧式水理計算書!G24))</f>
        <v>0</v>
      </c>
      <c r="J54" s="187">
        <f>IF(H54=0,0,IF(直圧式水理計算書!I24=0,0,直圧式水理計算書!I24))</f>
        <v>0</v>
      </c>
      <c r="K54" s="187" t="str">
        <f t="shared" si="30"/>
        <v/>
      </c>
      <c r="L54" s="186">
        <f t="shared" si="31"/>
        <v>0</v>
      </c>
      <c r="M54" s="185">
        <f t="shared" si="32"/>
        <v>0</v>
      </c>
      <c r="N54" s="89"/>
      <c r="P54" s="10" t="s">
        <v>132</v>
      </c>
      <c r="R54" s="194">
        <f t="shared" si="33"/>
        <v>0</v>
      </c>
      <c r="S54" s="181">
        <f t="shared" si="34"/>
        <v>0</v>
      </c>
      <c r="T54" s="191">
        <f t="shared" si="35"/>
        <v>0</v>
      </c>
      <c r="U54" s="191">
        <f>IF(S54=0,0,ROUND(T54/S54,2))</f>
        <v>0</v>
      </c>
      <c r="V54" s="193">
        <f t="shared" si="36"/>
        <v>0</v>
      </c>
      <c r="W54" s="192">
        <f t="shared" si="37"/>
        <v>0</v>
      </c>
      <c r="X54" s="191">
        <f>J54/1000</f>
        <v>0</v>
      </c>
      <c r="Y54" s="191">
        <f>IF(W54=0,0,ROUND(X54/W54,2))</f>
        <v>0</v>
      </c>
      <c r="AA54" s="137">
        <v>40</v>
      </c>
      <c r="AB54" s="166">
        <v>4.7</v>
      </c>
      <c r="AC54" s="196"/>
      <c r="AD54" s="200">
        <v>2.8</v>
      </c>
      <c r="AE54" s="108">
        <v>26</v>
      </c>
      <c r="AF54" s="201">
        <v>0.3</v>
      </c>
      <c r="AG54" s="166">
        <v>1.5</v>
      </c>
      <c r="AH54" s="200">
        <v>1</v>
      </c>
      <c r="AI54" s="196">
        <v>1.4</v>
      </c>
      <c r="AJ54" s="196">
        <v>9.5</v>
      </c>
    </row>
    <row r="55" spans="1:36" ht="14.25" customHeight="1" x14ac:dyDescent="0.15">
      <c r="A55" s="76"/>
      <c r="C55" s="414"/>
      <c r="D55" s="190"/>
      <c r="E55" s="254" t="s">
        <v>39</v>
      </c>
      <c r="F55" s="177" t="s">
        <v>311</v>
      </c>
      <c r="G55" s="127" t="s">
        <v>36</v>
      </c>
      <c r="H55" s="189"/>
      <c r="I55" s="188">
        <f>IF(H55=0,0,IF(直圧式水理計算書!G25=0,0,直圧式水理計算書!G25))</f>
        <v>0</v>
      </c>
      <c r="J55" s="187">
        <f>IF(H55=0,0,IF(直圧式水理計算書!I25=0,0,直圧式水理計算書!I25))</f>
        <v>0</v>
      </c>
      <c r="K55" s="187" t="str">
        <f t="shared" si="30"/>
        <v/>
      </c>
      <c r="L55" s="186">
        <f t="shared" si="31"/>
        <v>0</v>
      </c>
      <c r="M55" s="185">
        <f t="shared" si="32"/>
        <v>0</v>
      </c>
      <c r="N55" s="89"/>
      <c r="P55" s="10" t="s">
        <v>133</v>
      </c>
      <c r="R55" s="194">
        <f t="shared" si="33"/>
        <v>0</v>
      </c>
      <c r="S55" s="181">
        <f t="shared" si="34"/>
        <v>0</v>
      </c>
      <c r="T55" s="191">
        <f t="shared" si="35"/>
        <v>0</v>
      </c>
      <c r="U55" s="191">
        <f>IF(S55=0,0,ROUND(T55/S55,2))</f>
        <v>0</v>
      </c>
      <c r="V55" s="193">
        <f t="shared" si="36"/>
        <v>0</v>
      </c>
      <c r="W55" s="192">
        <f t="shared" si="37"/>
        <v>0</v>
      </c>
      <c r="X55" s="191">
        <f>J55/1000</f>
        <v>0</v>
      </c>
      <c r="Y55" s="191">
        <f>IF(W55=0,0,ROUND(X55/W55,2))</f>
        <v>0</v>
      </c>
      <c r="AA55" s="137">
        <v>50</v>
      </c>
      <c r="AB55" s="166">
        <v>6.3</v>
      </c>
      <c r="AC55" s="197">
        <v>6</v>
      </c>
      <c r="AD55" s="200">
        <v>1.6</v>
      </c>
      <c r="AE55" s="108">
        <v>12.6</v>
      </c>
      <c r="AF55" s="108">
        <v>0.39</v>
      </c>
      <c r="AG55" s="166">
        <v>2.1</v>
      </c>
      <c r="AH55" s="200">
        <v>1</v>
      </c>
      <c r="AI55" s="196">
        <v>0.39</v>
      </c>
      <c r="AJ55" s="196">
        <v>11.7</v>
      </c>
    </row>
    <row r="56" spans="1:36" ht="14.25" customHeight="1" x14ac:dyDescent="0.15">
      <c r="A56" s="76"/>
      <c r="C56" s="414"/>
      <c r="D56" s="190"/>
      <c r="E56" s="254" t="s">
        <v>36</v>
      </c>
      <c r="F56" s="177" t="s">
        <v>311</v>
      </c>
      <c r="G56" s="127" t="s">
        <v>40</v>
      </c>
      <c r="H56" s="189"/>
      <c r="I56" s="188">
        <f>IF(H56=0,0,IF(直圧式水理計算書!G26=0,0,直圧式水理計算書!G26))</f>
        <v>0</v>
      </c>
      <c r="J56" s="187">
        <f>IF(H56=0,0,IF(直圧式水理計算書!I26=0,0,直圧式水理計算書!I26))</f>
        <v>0</v>
      </c>
      <c r="K56" s="187" t="str">
        <f t="shared" si="30"/>
        <v/>
      </c>
      <c r="L56" s="186">
        <f t="shared" si="31"/>
        <v>0</v>
      </c>
      <c r="M56" s="185">
        <f t="shared" si="32"/>
        <v>0</v>
      </c>
      <c r="N56" s="89"/>
      <c r="P56" s="10" t="s">
        <v>134</v>
      </c>
      <c r="R56" s="194">
        <f t="shared" si="33"/>
        <v>0</v>
      </c>
      <c r="S56" s="181">
        <f t="shared" si="34"/>
        <v>0</v>
      </c>
      <c r="T56" s="191">
        <f t="shared" si="35"/>
        <v>0</v>
      </c>
      <c r="U56" s="191">
        <f>IF(S56=0,0,ROUND(T56/S56,2))</f>
        <v>0</v>
      </c>
      <c r="V56" s="193">
        <f t="shared" si="36"/>
        <v>0</v>
      </c>
      <c r="W56" s="192">
        <f t="shared" si="37"/>
        <v>0</v>
      </c>
      <c r="X56" s="191">
        <f>J56/1000</f>
        <v>0</v>
      </c>
      <c r="Y56" s="191">
        <f>IF(W56=0,0,ROUND(X56/W56,2))</f>
        <v>0</v>
      </c>
      <c r="AA56" s="199">
        <v>75</v>
      </c>
      <c r="AB56" s="198"/>
      <c r="AC56" s="197">
        <v>1</v>
      </c>
      <c r="AD56" s="197">
        <v>1</v>
      </c>
      <c r="AE56" s="108">
        <v>18.600000000000001</v>
      </c>
      <c r="AF56" s="196"/>
      <c r="AG56" s="108">
        <v>1.5</v>
      </c>
      <c r="AH56" s="108">
        <v>1.5</v>
      </c>
      <c r="AI56" s="196"/>
      <c r="AJ56" s="196"/>
    </row>
    <row r="57" spans="1:36" ht="14.25" customHeight="1" x14ac:dyDescent="0.15">
      <c r="A57" s="76"/>
      <c r="C57" s="414"/>
      <c r="D57" s="190"/>
      <c r="E57" s="254" t="s">
        <v>40</v>
      </c>
      <c r="F57" s="177" t="s">
        <v>311</v>
      </c>
      <c r="G57" s="127" t="s">
        <v>42</v>
      </c>
      <c r="H57" s="189"/>
      <c r="I57" s="188">
        <f>IF(H57=0,0,IF(直圧式水理計算書!G27=0,0,直圧式水理計算書!G27))</f>
        <v>0</v>
      </c>
      <c r="J57" s="187">
        <f>IF(H57=0,0,IF(直圧式水理計算書!I27=0,0,直圧式水理計算書!I27))</f>
        <v>0</v>
      </c>
      <c r="K57" s="187" t="str">
        <f t="shared" si="30"/>
        <v/>
      </c>
      <c r="L57" s="186">
        <f t="shared" si="31"/>
        <v>0</v>
      </c>
      <c r="M57" s="185">
        <f t="shared" si="32"/>
        <v>0</v>
      </c>
      <c r="N57" s="89"/>
      <c r="P57" s="10" t="s">
        <v>135</v>
      </c>
      <c r="R57" s="194">
        <f t="shared" si="33"/>
        <v>0</v>
      </c>
      <c r="S57" s="181">
        <f t="shared" si="34"/>
        <v>0</v>
      </c>
      <c r="T57" s="191">
        <f t="shared" si="35"/>
        <v>0</v>
      </c>
      <c r="U57" s="191">
        <f t="shared" ref="U57:U77" si="38">IF(S57=0,0,ROUND(T57/S57,2))</f>
        <v>0</v>
      </c>
      <c r="V57" s="193">
        <f t="shared" si="36"/>
        <v>0</v>
      </c>
      <c r="W57" s="192">
        <f t="shared" si="37"/>
        <v>0</v>
      </c>
      <c r="X57" s="191">
        <f t="shared" ref="X57:X77" si="39">J57/1000</f>
        <v>0</v>
      </c>
      <c r="Y57" s="191">
        <f t="shared" ref="Y57:Y77" si="40">IF(W57=0,0,ROUND(X57/W57,2))</f>
        <v>0</v>
      </c>
      <c r="AA57" s="199">
        <v>100</v>
      </c>
      <c r="AB57" s="198"/>
      <c r="AC57" s="197">
        <v>1</v>
      </c>
      <c r="AD57" s="197">
        <v>1</v>
      </c>
      <c r="AE57" s="196"/>
      <c r="AF57" s="196"/>
      <c r="AG57" s="108">
        <v>2</v>
      </c>
      <c r="AH57" s="108">
        <v>2</v>
      </c>
      <c r="AI57" s="196"/>
      <c r="AJ57" s="196"/>
    </row>
    <row r="58" spans="1:36" ht="14.25" customHeight="1" x14ac:dyDescent="0.15">
      <c r="A58" s="76"/>
      <c r="C58" s="414"/>
      <c r="D58" s="190"/>
      <c r="E58" s="254" t="s">
        <v>42</v>
      </c>
      <c r="F58" s="177" t="s">
        <v>311</v>
      </c>
      <c r="G58" s="127" t="s">
        <v>43</v>
      </c>
      <c r="H58" s="189"/>
      <c r="I58" s="188">
        <f>IF(H58=0,0,IF(直圧式水理計算書!G28=0,0,直圧式水理計算書!G28))</f>
        <v>0</v>
      </c>
      <c r="J58" s="187">
        <f>IF(H58=0,0,IF(直圧式水理計算書!I28=0,0,直圧式水理計算書!I28))</f>
        <v>0</v>
      </c>
      <c r="K58" s="187" t="str">
        <f t="shared" si="30"/>
        <v/>
      </c>
      <c r="L58" s="186">
        <f t="shared" si="31"/>
        <v>0</v>
      </c>
      <c r="M58" s="185">
        <f t="shared" si="32"/>
        <v>0</v>
      </c>
      <c r="N58" s="89"/>
      <c r="P58" s="11"/>
      <c r="R58" s="194">
        <f t="shared" si="33"/>
        <v>0</v>
      </c>
      <c r="S58" s="181">
        <f t="shared" si="34"/>
        <v>0</v>
      </c>
      <c r="T58" s="191">
        <f t="shared" si="35"/>
        <v>0</v>
      </c>
      <c r="U58" s="191">
        <f t="shared" si="38"/>
        <v>0</v>
      </c>
      <c r="V58" s="193">
        <f t="shared" si="36"/>
        <v>0</v>
      </c>
      <c r="W58" s="192">
        <f t="shared" si="37"/>
        <v>0</v>
      </c>
      <c r="X58" s="191">
        <f t="shared" si="39"/>
        <v>0</v>
      </c>
      <c r="Y58" s="191">
        <f t="shared" si="40"/>
        <v>0</v>
      </c>
      <c r="AA58" s="199">
        <v>150</v>
      </c>
      <c r="AB58" s="198"/>
      <c r="AC58" s="197">
        <v>1</v>
      </c>
      <c r="AD58" s="197">
        <v>1</v>
      </c>
      <c r="AE58" s="196"/>
      <c r="AF58" s="196"/>
      <c r="AG58" s="108">
        <v>3</v>
      </c>
      <c r="AH58" s="108">
        <v>3</v>
      </c>
      <c r="AI58" s="196"/>
      <c r="AJ58" s="196"/>
    </row>
    <row r="59" spans="1:36" ht="14.25" customHeight="1" x14ac:dyDescent="0.15">
      <c r="A59" s="76"/>
      <c r="C59" s="414"/>
      <c r="D59" s="190"/>
      <c r="E59" s="254" t="s">
        <v>43</v>
      </c>
      <c r="F59" s="128" t="s">
        <v>311</v>
      </c>
      <c r="G59" s="127" t="s">
        <v>44</v>
      </c>
      <c r="H59" s="189"/>
      <c r="I59" s="188">
        <f>IF(H59=0,0,IF(直圧式水理計算書!G29=0,0,直圧式水理計算書!G29))</f>
        <v>0</v>
      </c>
      <c r="J59" s="187">
        <f>IF(H59=0,0,IF(直圧式水理計算書!I29=0,0,直圧式水理計算書!I29))</f>
        <v>0</v>
      </c>
      <c r="K59" s="187" t="str">
        <f t="shared" si="30"/>
        <v/>
      </c>
      <c r="L59" s="186">
        <f t="shared" si="31"/>
        <v>0</v>
      </c>
      <c r="M59" s="185">
        <f t="shared" si="32"/>
        <v>0</v>
      </c>
      <c r="N59" s="89"/>
      <c r="P59" s="11"/>
      <c r="R59" s="194">
        <f t="shared" si="33"/>
        <v>0</v>
      </c>
      <c r="S59" s="181">
        <f t="shared" si="34"/>
        <v>0</v>
      </c>
      <c r="T59" s="191">
        <f t="shared" si="35"/>
        <v>0</v>
      </c>
      <c r="U59" s="191">
        <f t="shared" si="38"/>
        <v>0</v>
      </c>
      <c r="V59" s="193">
        <f t="shared" si="36"/>
        <v>0</v>
      </c>
      <c r="W59" s="192">
        <f t="shared" si="37"/>
        <v>0</v>
      </c>
      <c r="X59" s="191">
        <f t="shared" si="39"/>
        <v>0</v>
      </c>
      <c r="Y59" s="191">
        <f t="shared" si="40"/>
        <v>0</v>
      </c>
      <c r="AA59" s="195">
        <v>1</v>
      </c>
      <c r="AB59" s="81">
        <f>AA59+1</f>
        <v>2</v>
      </c>
      <c r="AC59" s="81">
        <f t="shared" ref="AC59:AJ59" si="41">AB59+1</f>
        <v>3</v>
      </c>
      <c r="AD59" s="81">
        <f t="shared" si="41"/>
        <v>4</v>
      </c>
      <c r="AE59" s="81">
        <f>AD59+1</f>
        <v>5</v>
      </c>
      <c r="AF59" s="81">
        <f t="shared" si="41"/>
        <v>6</v>
      </c>
      <c r="AG59" s="81">
        <f t="shared" si="41"/>
        <v>7</v>
      </c>
      <c r="AH59" s="81">
        <f t="shared" si="41"/>
        <v>8</v>
      </c>
      <c r="AI59" s="81">
        <f t="shared" si="41"/>
        <v>9</v>
      </c>
      <c r="AJ59" s="81">
        <f t="shared" si="41"/>
        <v>10</v>
      </c>
    </row>
    <row r="60" spans="1:36" ht="14.25" customHeight="1" x14ac:dyDescent="0.15">
      <c r="A60" s="76"/>
      <c r="C60" s="414"/>
      <c r="D60" s="190"/>
      <c r="E60" s="254" t="s">
        <v>429</v>
      </c>
      <c r="F60" s="128" t="s">
        <v>430</v>
      </c>
      <c r="G60" s="127" t="s">
        <v>431</v>
      </c>
      <c r="H60" s="189"/>
      <c r="I60" s="188">
        <f>IF(H60=0,0,IF(直圧式水理計算書!G30=0,0,直圧式水理計算書!G30))</f>
        <v>0</v>
      </c>
      <c r="J60" s="187">
        <f>IF(H60=0,0,IF(直圧式水理計算書!I30=0,0,直圧式水理計算書!I30))</f>
        <v>0</v>
      </c>
      <c r="K60" s="187" t="str">
        <f t="shared" si="30"/>
        <v/>
      </c>
      <c r="L60" s="186">
        <f t="shared" si="31"/>
        <v>0</v>
      </c>
      <c r="M60" s="185">
        <f t="shared" si="32"/>
        <v>0</v>
      </c>
      <c r="N60" s="89"/>
      <c r="P60" s="9" t="s">
        <v>136</v>
      </c>
      <c r="R60" s="194">
        <f t="shared" si="33"/>
        <v>0</v>
      </c>
      <c r="S60" s="181">
        <f t="shared" si="34"/>
        <v>0</v>
      </c>
      <c r="T60" s="191">
        <f t="shared" si="35"/>
        <v>0</v>
      </c>
      <c r="U60" s="191">
        <f t="shared" si="38"/>
        <v>0</v>
      </c>
      <c r="V60" s="193">
        <f t="shared" si="36"/>
        <v>0</v>
      </c>
      <c r="W60" s="192">
        <f t="shared" si="37"/>
        <v>0</v>
      </c>
      <c r="X60" s="191">
        <f t="shared" si="39"/>
        <v>0</v>
      </c>
      <c r="Y60" s="191">
        <f t="shared" si="40"/>
        <v>0</v>
      </c>
    </row>
    <row r="61" spans="1:36" ht="14.25" customHeight="1" x14ac:dyDescent="0.15">
      <c r="A61" s="76"/>
      <c r="C61" s="414"/>
      <c r="D61" s="190"/>
      <c r="E61" s="254" t="s">
        <v>432</v>
      </c>
      <c r="F61" s="177" t="s">
        <v>430</v>
      </c>
      <c r="G61" s="127" t="s">
        <v>433</v>
      </c>
      <c r="H61" s="189"/>
      <c r="I61" s="188">
        <f>IF(H61=0,0,IF(直圧式水理計算書!G31=0,0,直圧式水理計算書!G31))</f>
        <v>0</v>
      </c>
      <c r="J61" s="187">
        <f>IF(H61=0,0,IF(直圧式水理計算書!I31=0,0,直圧式水理計算書!I31))</f>
        <v>0</v>
      </c>
      <c r="K61" s="187" t="str">
        <f t="shared" si="30"/>
        <v/>
      </c>
      <c r="L61" s="186">
        <f t="shared" si="31"/>
        <v>0</v>
      </c>
      <c r="M61" s="185">
        <f t="shared" si="32"/>
        <v>0</v>
      </c>
      <c r="N61" s="89"/>
      <c r="P61" s="10" t="s">
        <v>137</v>
      </c>
      <c r="R61" s="194">
        <f t="shared" si="33"/>
        <v>0</v>
      </c>
      <c r="S61" s="181">
        <f t="shared" si="34"/>
        <v>0</v>
      </c>
      <c r="T61" s="191">
        <f t="shared" si="35"/>
        <v>0</v>
      </c>
      <c r="U61" s="191">
        <f t="shared" si="38"/>
        <v>0</v>
      </c>
      <c r="V61" s="193">
        <f t="shared" si="36"/>
        <v>0</v>
      </c>
      <c r="W61" s="192">
        <f t="shared" si="37"/>
        <v>0</v>
      </c>
      <c r="X61" s="191">
        <f t="shared" si="39"/>
        <v>0</v>
      </c>
      <c r="Y61" s="191">
        <f t="shared" si="40"/>
        <v>0</v>
      </c>
    </row>
    <row r="62" spans="1:36" ht="14.25" customHeight="1" x14ac:dyDescent="0.15">
      <c r="A62" s="76"/>
      <c r="C62" s="414"/>
      <c r="D62" s="190"/>
      <c r="E62" s="254" t="s">
        <v>433</v>
      </c>
      <c r="F62" s="177" t="s">
        <v>430</v>
      </c>
      <c r="G62" s="127" t="s">
        <v>434</v>
      </c>
      <c r="H62" s="189"/>
      <c r="I62" s="188">
        <f>IF(H62=0,0,IF(直圧式水理計算書!G32=0,0,直圧式水理計算書!G32))</f>
        <v>0</v>
      </c>
      <c r="J62" s="187">
        <f>IF(H62=0,0,IF(直圧式水理計算書!I32=0,0,直圧式水理計算書!I32))</f>
        <v>0</v>
      </c>
      <c r="K62" s="187" t="str">
        <f t="shared" si="30"/>
        <v/>
      </c>
      <c r="L62" s="186">
        <f t="shared" si="31"/>
        <v>0</v>
      </c>
      <c r="M62" s="185">
        <f t="shared" si="32"/>
        <v>0</v>
      </c>
      <c r="N62" s="89"/>
      <c r="P62" s="10" t="s">
        <v>152</v>
      </c>
      <c r="R62" s="194">
        <f t="shared" si="33"/>
        <v>0</v>
      </c>
      <c r="S62" s="181">
        <f t="shared" si="34"/>
        <v>0</v>
      </c>
      <c r="T62" s="191">
        <f t="shared" si="35"/>
        <v>0</v>
      </c>
      <c r="U62" s="191">
        <f t="shared" si="38"/>
        <v>0</v>
      </c>
      <c r="V62" s="193">
        <f t="shared" si="36"/>
        <v>0</v>
      </c>
      <c r="W62" s="192">
        <f t="shared" si="37"/>
        <v>0</v>
      </c>
      <c r="X62" s="191">
        <f t="shared" si="39"/>
        <v>0</v>
      </c>
      <c r="Y62" s="191">
        <f t="shared" si="40"/>
        <v>0</v>
      </c>
    </row>
    <row r="63" spans="1:36" ht="14.25" customHeight="1" x14ac:dyDescent="0.15">
      <c r="A63" s="76"/>
      <c r="C63" s="414"/>
      <c r="D63" s="190"/>
      <c r="E63" s="178" t="s">
        <v>434</v>
      </c>
      <c r="F63" s="177" t="s">
        <v>430</v>
      </c>
      <c r="G63" s="176" t="s">
        <v>435</v>
      </c>
      <c r="H63" s="189"/>
      <c r="I63" s="188">
        <f>IF(H63=0,0,IF(直圧式水理計算書!G33=0,0,直圧式水理計算書!G33))</f>
        <v>0</v>
      </c>
      <c r="J63" s="187">
        <f>IF(H63=0,0,IF(直圧式水理計算書!I33=0,0,直圧式水理計算書!I33))</f>
        <v>0</v>
      </c>
      <c r="K63" s="187" t="str">
        <f t="shared" si="30"/>
        <v/>
      </c>
      <c r="L63" s="186">
        <f t="shared" si="31"/>
        <v>0</v>
      </c>
      <c r="M63" s="185">
        <f t="shared" si="32"/>
        <v>0</v>
      </c>
      <c r="N63" s="89"/>
      <c r="P63" s="10" t="s">
        <v>138</v>
      </c>
      <c r="R63" s="194">
        <f t="shared" si="33"/>
        <v>0</v>
      </c>
      <c r="S63" s="181">
        <f t="shared" si="34"/>
        <v>0</v>
      </c>
      <c r="T63" s="191">
        <f t="shared" si="35"/>
        <v>0</v>
      </c>
      <c r="U63" s="191">
        <f t="shared" si="38"/>
        <v>0</v>
      </c>
      <c r="V63" s="193">
        <f t="shared" si="36"/>
        <v>0</v>
      </c>
      <c r="W63" s="192">
        <f t="shared" si="37"/>
        <v>0</v>
      </c>
      <c r="X63" s="191">
        <f t="shared" si="39"/>
        <v>0</v>
      </c>
      <c r="Y63" s="191">
        <f t="shared" si="40"/>
        <v>0</v>
      </c>
    </row>
    <row r="64" spans="1:36" ht="14.25" customHeight="1" x14ac:dyDescent="0.15">
      <c r="A64" s="76"/>
      <c r="C64" s="414"/>
      <c r="D64" s="190"/>
      <c r="E64" s="178" t="s">
        <v>435</v>
      </c>
      <c r="F64" s="177" t="s">
        <v>430</v>
      </c>
      <c r="G64" s="176" t="s">
        <v>436</v>
      </c>
      <c r="H64" s="189"/>
      <c r="I64" s="188">
        <f>IF(H64=0,0,IF(直圧式水理計算書!G34=0,0,直圧式水理計算書!G34))</f>
        <v>0</v>
      </c>
      <c r="J64" s="187">
        <f>IF(H64=0,0,IF(直圧式水理計算書!I34=0,0,直圧式水理計算書!I34))</f>
        <v>0</v>
      </c>
      <c r="K64" s="187" t="str">
        <f t="shared" si="30"/>
        <v/>
      </c>
      <c r="L64" s="186">
        <f t="shared" si="31"/>
        <v>0</v>
      </c>
      <c r="M64" s="185">
        <f t="shared" si="32"/>
        <v>0</v>
      </c>
      <c r="N64" s="89"/>
      <c r="P64" s="10" t="s">
        <v>179</v>
      </c>
      <c r="R64" s="194">
        <f t="shared" si="33"/>
        <v>0</v>
      </c>
      <c r="S64" s="181">
        <f t="shared" si="34"/>
        <v>0</v>
      </c>
      <c r="T64" s="191">
        <f t="shared" si="35"/>
        <v>0</v>
      </c>
      <c r="U64" s="191">
        <f t="shared" si="38"/>
        <v>0</v>
      </c>
      <c r="V64" s="193">
        <f t="shared" si="36"/>
        <v>0</v>
      </c>
      <c r="W64" s="192">
        <f t="shared" si="37"/>
        <v>0</v>
      </c>
      <c r="X64" s="191">
        <f t="shared" si="39"/>
        <v>0</v>
      </c>
      <c r="Y64" s="191">
        <f t="shared" si="40"/>
        <v>0</v>
      </c>
    </row>
    <row r="65" spans="1:25" ht="14.25" customHeight="1" x14ac:dyDescent="0.15">
      <c r="A65" s="76"/>
      <c r="C65" s="414"/>
      <c r="D65" s="190"/>
      <c r="E65" s="178" t="s">
        <v>436</v>
      </c>
      <c r="F65" s="177" t="s">
        <v>430</v>
      </c>
      <c r="G65" s="176" t="s">
        <v>437</v>
      </c>
      <c r="H65" s="189"/>
      <c r="I65" s="188">
        <f>IF(H65=0,0,IF(直圧式水理計算書!G35=0,0,直圧式水理計算書!G35))</f>
        <v>0</v>
      </c>
      <c r="J65" s="187">
        <f>IF(H65=0,0,IF(直圧式水理計算書!I35=0,0,直圧式水理計算書!I35))</f>
        <v>0</v>
      </c>
      <c r="K65" s="187" t="str">
        <f t="shared" si="30"/>
        <v/>
      </c>
      <c r="L65" s="186">
        <f t="shared" si="31"/>
        <v>0</v>
      </c>
      <c r="M65" s="185">
        <f t="shared" si="32"/>
        <v>0</v>
      </c>
      <c r="N65" s="89"/>
      <c r="P65" s="11"/>
      <c r="R65" s="194">
        <f t="shared" si="33"/>
        <v>0</v>
      </c>
      <c r="S65" s="181">
        <f t="shared" si="34"/>
        <v>0</v>
      </c>
      <c r="T65" s="191">
        <f t="shared" si="35"/>
        <v>0</v>
      </c>
      <c r="U65" s="191">
        <f t="shared" si="38"/>
        <v>0</v>
      </c>
      <c r="V65" s="193">
        <f t="shared" si="36"/>
        <v>0</v>
      </c>
      <c r="W65" s="192">
        <f t="shared" si="37"/>
        <v>0</v>
      </c>
      <c r="X65" s="191">
        <f t="shared" si="39"/>
        <v>0</v>
      </c>
      <c r="Y65" s="191">
        <f t="shared" si="40"/>
        <v>0</v>
      </c>
    </row>
    <row r="66" spans="1:25" ht="14.25" customHeight="1" x14ac:dyDescent="0.15">
      <c r="A66" s="76"/>
      <c r="C66" s="414"/>
      <c r="D66" s="190"/>
      <c r="E66" s="178" t="s">
        <v>437</v>
      </c>
      <c r="F66" s="177" t="s">
        <v>430</v>
      </c>
      <c r="G66" s="176" t="s">
        <v>438</v>
      </c>
      <c r="H66" s="189"/>
      <c r="I66" s="188">
        <f>IF(H66=0,0,IF(直圧式水理計算書!G36=0,0,直圧式水理計算書!G36))</f>
        <v>0</v>
      </c>
      <c r="J66" s="187">
        <f>IF(H66=0,0,IF(直圧式水理計算書!I36=0,0,直圧式水理計算書!I36))</f>
        <v>0</v>
      </c>
      <c r="K66" s="187" t="str">
        <f t="shared" si="30"/>
        <v/>
      </c>
      <c r="L66" s="186">
        <f t="shared" si="31"/>
        <v>0</v>
      </c>
      <c r="M66" s="185">
        <f t="shared" si="32"/>
        <v>0</v>
      </c>
      <c r="N66" s="89"/>
      <c r="P66" s="11"/>
      <c r="R66" s="194">
        <f t="shared" si="33"/>
        <v>0</v>
      </c>
      <c r="S66" s="181">
        <f t="shared" si="34"/>
        <v>0</v>
      </c>
      <c r="T66" s="191">
        <f t="shared" si="35"/>
        <v>0</v>
      </c>
      <c r="U66" s="191">
        <f t="shared" si="38"/>
        <v>0</v>
      </c>
      <c r="V66" s="193">
        <f t="shared" si="36"/>
        <v>0</v>
      </c>
      <c r="W66" s="192">
        <f t="shared" si="37"/>
        <v>0</v>
      </c>
      <c r="X66" s="191">
        <f t="shared" si="39"/>
        <v>0</v>
      </c>
      <c r="Y66" s="191">
        <f t="shared" si="40"/>
        <v>0</v>
      </c>
    </row>
    <row r="67" spans="1:25" ht="14.25" customHeight="1" x14ac:dyDescent="0.15">
      <c r="A67" s="76"/>
      <c r="C67" s="414"/>
      <c r="D67" s="190"/>
      <c r="E67" s="178" t="s">
        <v>438</v>
      </c>
      <c r="F67" s="177" t="s">
        <v>430</v>
      </c>
      <c r="G67" s="176" t="s">
        <v>439</v>
      </c>
      <c r="H67" s="189"/>
      <c r="I67" s="188">
        <f>IF(H67=0,0,IF(直圧式水理計算書!G37=0,0,直圧式水理計算書!G37))</f>
        <v>0</v>
      </c>
      <c r="J67" s="187">
        <f>IF(H67=0,0,IF(直圧式水理計算書!I37=0,0,直圧式水理計算書!I37))</f>
        <v>0</v>
      </c>
      <c r="K67" s="187" t="str">
        <f t="shared" si="30"/>
        <v/>
      </c>
      <c r="L67" s="186">
        <f t="shared" si="31"/>
        <v>0</v>
      </c>
      <c r="M67" s="185">
        <f t="shared" si="32"/>
        <v>0</v>
      </c>
      <c r="N67" s="89"/>
      <c r="P67" s="11"/>
      <c r="R67" s="194">
        <f t="shared" si="33"/>
        <v>0</v>
      </c>
      <c r="S67" s="181">
        <f t="shared" si="34"/>
        <v>0</v>
      </c>
      <c r="T67" s="191">
        <f t="shared" si="35"/>
        <v>0</v>
      </c>
      <c r="U67" s="191">
        <f t="shared" si="38"/>
        <v>0</v>
      </c>
      <c r="V67" s="193">
        <f t="shared" si="36"/>
        <v>0</v>
      </c>
      <c r="W67" s="192">
        <f t="shared" si="37"/>
        <v>0</v>
      </c>
      <c r="X67" s="191">
        <f t="shared" si="39"/>
        <v>0</v>
      </c>
      <c r="Y67" s="191">
        <f t="shared" si="40"/>
        <v>0</v>
      </c>
    </row>
    <row r="68" spans="1:25" ht="14.25" customHeight="1" x14ac:dyDescent="0.15">
      <c r="A68" s="76"/>
      <c r="B68" s="83"/>
      <c r="C68" s="414"/>
      <c r="D68" s="190"/>
      <c r="E68" s="178" t="s">
        <v>439</v>
      </c>
      <c r="F68" s="177" t="s">
        <v>430</v>
      </c>
      <c r="G68" s="176" t="s">
        <v>440</v>
      </c>
      <c r="H68" s="189"/>
      <c r="I68" s="188">
        <f>IF(H68=0,0,IF(直圧式水理計算書!G38=0,0,直圧式水理計算書!G38))</f>
        <v>0</v>
      </c>
      <c r="J68" s="187">
        <f>IF(H68=0,0,IF(直圧式水理計算書!I38=0,0,直圧式水理計算書!I38))</f>
        <v>0</v>
      </c>
      <c r="K68" s="187" t="str">
        <f t="shared" si="30"/>
        <v/>
      </c>
      <c r="L68" s="186">
        <f t="shared" si="31"/>
        <v>0</v>
      </c>
      <c r="M68" s="185">
        <f t="shared" si="32"/>
        <v>0</v>
      </c>
      <c r="N68" s="89"/>
      <c r="P68" s="11"/>
      <c r="R68" s="194">
        <f t="shared" si="33"/>
        <v>0</v>
      </c>
      <c r="S68" s="181">
        <f t="shared" si="34"/>
        <v>0</v>
      </c>
      <c r="T68" s="191">
        <f t="shared" si="35"/>
        <v>0</v>
      </c>
      <c r="U68" s="191">
        <f t="shared" si="38"/>
        <v>0</v>
      </c>
      <c r="V68" s="193">
        <f t="shared" si="36"/>
        <v>0</v>
      </c>
      <c r="W68" s="192">
        <f t="shared" si="37"/>
        <v>0</v>
      </c>
      <c r="X68" s="191">
        <f t="shared" si="39"/>
        <v>0</v>
      </c>
      <c r="Y68" s="191">
        <f t="shared" si="40"/>
        <v>0</v>
      </c>
    </row>
    <row r="69" spans="1:25" ht="14.25" customHeight="1" x14ac:dyDescent="0.15">
      <c r="A69" s="76"/>
      <c r="B69" s="83"/>
      <c r="C69" s="414"/>
      <c r="D69" s="190"/>
      <c r="E69" s="178" t="s">
        <v>440</v>
      </c>
      <c r="F69" s="177" t="s">
        <v>430</v>
      </c>
      <c r="G69" s="176" t="s">
        <v>441</v>
      </c>
      <c r="H69" s="189"/>
      <c r="I69" s="188">
        <f>IF(H69=0,0,IF(直圧式水理計算書!G39=0,0,直圧式水理計算書!G39))</f>
        <v>0</v>
      </c>
      <c r="J69" s="187">
        <f>IF(H69=0,0,IF(直圧式水理計算書!I39=0,0,直圧式水理計算書!I39))</f>
        <v>0</v>
      </c>
      <c r="K69" s="187" t="str">
        <f t="shared" si="30"/>
        <v/>
      </c>
      <c r="L69" s="186">
        <f t="shared" si="31"/>
        <v>0</v>
      </c>
      <c r="M69" s="185">
        <f t="shared" si="32"/>
        <v>0</v>
      </c>
      <c r="N69" s="89"/>
      <c r="P69" s="11"/>
      <c r="R69" s="194">
        <f t="shared" si="33"/>
        <v>0</v>
      </c>
      <c r="S69" s="181">
        <f t="shared" si="34"/>
        <v>0</v>
      </c>
      <c r="T69" s="191">
        <f t="shared" si="35"/>
        <v>0</v>
      </c>
      <c r="U69" s="191">
        <f t="shared" si="38"/>
        <v>0</v>
      </c>
      <c r="V69" s="193">
        <f t="shared" si="36"/>
        <v>0</v>
      </c>
      <c r="W69" s="192">
        <f t="shared" si="37"/>
        <v>0</v>
      </c>
      <c r="X69" s="191">
        <f t="shared" si="39"/>
        <v>0</v>
      </c>
      <c r="Y69" s="191">
        <f t="shared" si="40"/>
        <v>0</v>
      </c>
    </row>
    <row r="70" spans="1:25" ht="13.5" customHeight="1" x14ac:dyDescent="0.15">
      <c r="A70" s="76"/>
      <c r="C70" s="414"/>
      <c r="D70" s="190"/>
      <c r="E70" s="178" t="s">
        <v>441</v>
      </c>
      <c r="F70" s="177" t="s">
        <v>430</v>
      </c>
      <c r="G70" s="176" t="s">
        <v>442</v>
      </c>
      <c r="H70" s="189"/>
      <c r="I70" s="188">
        <f>IF(H70=0,0,IF(直圧式水理計算書!G40=0,0,直圧式水理計算書!G40))</f>
        <v>0</v>
      </c>
      <c r="J70" s="187">
        <f>IF(H70=0,0,IF(直圧式水理計算書!I40=0,0,直圧式水理計算書!I40))</f>
        <v>0</v>
      </c>
      <c r="K70" s="187" t="str">
        <f t="shared" si="30"/>
        <v/>
      </c>
      <c r="L70" s="186">
        <f t="shared" si="31"/>
        <v>0</v>
      </c>
      <c r="M70" s="185">
        <f t="shared" si="32"/>
        <v>0</v>
      </c>
      <c r="N70" s="76"/>
      <c r="P70" s="11"/>
      <c r="R70" s="194">
        <f t="shared" si="33"/>
        <v>0</v>
      </c>
      <c r="S70" s="181">
        <f t="shared" si="34"/>
        <v>0</v>
      </c>
      <c r="T70" s="191">
        <f t="shared" si="35"/>
        <v>0</v>
      </c>
      <c r="U70" s="191">
        <f t="shared" si="38"/>
        <v>0</v>
      </c>
      <c r="V70" s="193">
        <f t="shared" si="36"/>
        <v>0</v>
      </c>
      <c r="W70" s="192">
        <f t="shared" si="37"/>
        <v>0</v>
      </c>
      <c r="X70" s="191">
        <f t="shared" si="39"/>
        <v>0</v>
      </c>
      <c r="Y70" s="191">
        <f t="shared" si="40"/>
        <v>0</v>
      </c>
    </row>
    <row r="71" spans="1:25" ht="13.5" customHeight="1" x14ac:dyDescent="0.15">
      <c r="A71" s="76"/>
      <c r="C71" s="414"/>
      <c r="D71" s="190"/>
      <c r="E71" s="178" t="s">
        <v>442</v>
      </c>
      <c r="F71" s="177" t="s">
        <v>430</v>
      </c>
      <c r="G71" s="176" t="s">
        <v>443</v>
      </c>
      <c r="H71" s="189"/>
      <c r="I71" s="188">
        <f>IF(H71=0,0,IF(直圧式水理計算書!G41=0,0,直圧式水理計算書!G41))</f>
        <v>0</v>
      </c>
      <c r="J71" s="187">
        <f>IF(H71=0,0,IF(直圧式水理計算書!I41=0,0,直圧式水理計算書!I41))</f>
        <v>0</v>
      </c>
      <c r="K71" s="187" t="str">
        <f t="shared" si="30"/>
        <v/>
      </c>
      <c r="L71" s="186">
        <f t="shared" si="31"/>
        <v>0</v>
      </c>
      <c r="M71" s="185">
        <f t="shared" si="32"/>
        <v>0</v>
      </c>
      <c r="N71" s="76"/>
      <c r="P71" s="11"/>
      <c r="R71" s="194">
        <f t="shared" si="33"/>
        <v>0</v>
      </c>
      <c r="S71" s="181">
        <f t="shared" si="34"/>
        <v>0</v>
      </c>
      <c r="T71" s="191">
        <f t="shared" si="35"/>
        <v>0</v>
      </c>
      <c r="U71" s="191">
        <f t="shared" si="38"/>
        <v>0</v>
      </c>
      <c r="V71" s="193">
        <f t="shared" si="36"/>
        <v>0</v>
      </c>
      <c r="W71" s="192">
        <f t="shared" si="37"/>
        <v>0</v>
      </c>
      <c r="X71" s="191">
        <f t="shared" si="39"/>
        <v>0</v>
      </c>
      <c r="Y71" s="191">
        <f t="shared" si="40"/>
        <v>0</v>
      </c>
    </row>
    <row r="72" spans="1:25" ht="13.5" customHeight="1" x14ac:dyDescent="0.15">
      <c r="A72" s="76"/>
      <c r="C72" s="414"/>
      <c r="D72" s="190"/>
      <c r="E72" s="178" t="s">
        <v>443</v>
      </c>
      <c r="F72" s="177" t="s">
        <v>430</v>
      </c>
      <c r="G72" s="176" t="s">
        <v>444</v>
      </c>
      <c r="H72" s="189"/>
      <c r="I72" s="188">
        <f>IF(H72=0,0,IF(直圧式水理計算書!G42=0,0,直圧式水理計算書!G42))</f>
        <v>0</v>
      </c>
      <c r="J72" s="187">
        <f>IF(H72=0,0,IF(直圧式水理計算書!I42=0,0,直圧式水理計算書!I42))</f>
        <v>0</v>
      </c>
      <c r="K72" s="187" t="str">
        <f t="shared" si="30"/>
        <v/>
      </c>
      <c r="L72" s="186">
        <f t="shared" si="31"/>
        <v>0</v>
      </c>
      <c r="M72" s="185">
        <f t="shared" si="32"/>
        <v>0</v>
      </c>
      <c r="N72" s="76"/>
      <c r="P72" s="11"/>
      <c r="R72" s="184">
        <f t="shared" si="33"/>
        <v>0</v>
      </c>
      <c r="S72" s="183">
        <f t="shared" si="34"/>
        <v>0</v>
      </c>
      <c r="T72" s="180">
        <f t="shared" si="35"/>
        <v>0</v>
      </c>
      <c r="U72" s="180">
        <f t="shared" si="38"/>
        <v>0</v>
      </c>
      <c r="V72" s="182">
        <f t="shared" si="36"/>
        <v>0</v>
      </c>
      <c r="W72" s="181">
        <f t="shared" si="37"/>
        <v>0</v>
      </c>
      <c r="X72" s="180">
        <f t="shared" si="39"/>
        <v>0</v>
      </c>
      <c r="Y72" s="180">
        <f t="shared" si="40"/>
        <v>0</v>
      </c>
    </row>
    <row r="73" spans="1:25" ht="13.5" customHeight="1" x14ac:dyDescent="0.15">
      <c r="A73" s="76"/>
      <c r="C73" s="414"/>
      <c r="D73" s="179"/>
      <c r="E73" s="178" t="s">
        <v>444</v>
      </c>
      <c r="F73" s="177" t="s">
        <v>430</v>
      </c>
      <c r="G73" s="176" t="s">
        <v>445</v>
      </c>
      <c r="H73" s="189"/>
      <c r="I73" s="188">
        <f>IF(H73=0,0,IF(直圧式水理計算書!G43=0,0,直圧式水理計算書!G43))</f>
        <v>0</v>
      </c>
      <c r="J73" s="187">
        <f>IF(H73=0,0,IF(直圧式水理計算書!I43=0,0,直圧式水理計算書!I43))</f>
        <v>0</v>
      </c>
      <c r="K73" s="187" t="str">
        <f t="shared" si="30"/>
        <v/>
      </c>
      <c r="L73" s="186">
        <f t="shared" si="31"/>
        <v>0</v>
      </c>
      <c r="M73" s="185">
        <f t="shared" si="32"/>
        <v>0</v>
      </c>
      <c r="N73" s="76"/>
      <c r="P73" s="11"/>
      <c r="R73" s="184">
        <f t="shared" si="33"/>
        <v>0</v>
      </c>
      <c r="S73" s="183">
        <f t="shared" si="34"/>
        <v>0</v>
      </c>
      <c r="T73" s="180">
        <f t="shared" si="35"/>
        <v>0</v>
      </c>
      <c r="U73" s="180">
        <f t="shared" si="38"/>
        <v>0</v>
      </c>
      <c r="V73" s="182">
        <f t="shared" si="36"/>
        <v>0</v>
      </c>
      <c r="W73" s="181">
        <f t="shared" si="37"/>
        <v>0</v>
      </c>
      <c r="X73" s="180">
        <f t="shared" si="39"/>
        <v>0</v>
      </c>
      <c r="Y73" s="180">
        <f t="shared" si="40"/>
        <v>0</v>
      </c>
    </row>
    <row r="74" spans="1:25" ht="13.5" customHeight="1" x14ac:dyDescent="0.15">
      <c r="A74" s="76"/>
      <c r="C74" s="414"/>
      <c r="D74" s="179"/>
      <c r="E74" s="178" t="s">
        <v>445</v>
      </c>
      <c r="F74" s="177" t="s">
        <v>430</v>
      </c>
      <c r="G74" s="176" t="s">
        <v>446</v>
      </c>
      <c r="H74" s="189"/>
      <c r="I74" s="188">
        <f>IF(H74=0,0,IF(直圧式水理計算書!G44=0,0,直圧式水理計算書!G44))</f>
        <v>0</v>
      </c>
      <c r="J74" s="187">
        <f>IF(H74=0,0,IF(直圧式水理計算書!I44=0,0,直圧式水理計算書!I44))</f>
        <v>0</v>
      </c>
      <c r="K74" s="187" t="str">
        <f t="shared" si="30"/>
        <v/>
      </c>
      <c r="L74" s="186">
        <f t="shared" si="31"/>
        <v>0</v>
      </c>
      <c r="M74" s="185">
        <f t="shared" si="32"/>
        <v>0</v>
      </c>
      <c r="N74" s="76"/>
      <c r="P74" s="11"/>
      <c r="R74" s="184">
        <f t="shared" si="33"/>
        <v>0</v>
      </c>
      <c r="S74" s="183">
        <f t="shared" si="34"/>
        <v>0</v>
      </c>
      <c r="T74" s="180">
        <f t="shared" si="35"/>
        <v>0</v>
      </c>
      <c r="U74" s="180">
        <f t="shared" si="38"/>
        <v>0</v>
      </c>
      <c r="V74" s="182">
        <f t="shared" si="36"/>
        <v>0</v>
      </c>
      <c r="W74" s="181">
        <f t="shared" si="37"/>
        <v>0</v>
      </c>
      <c r="X74" s="180">
        <f t="shared" si="39"/>
        <v>0</v>
      </c>
      <c r="Y74" s="180">
        <f t="shared" si="40"/>
        <v>0</v>
      </c>
    </row>
    <row r="75" spans="1:25" ht="13.5" customHeight="1" x14ac:dyDescent="0.15">
      <c r="A75" s="76"/>
      <c r="C75" s="414"/>
      <c r="D75" s="179"/>
      <c r="E75" s="178" t="s">
        <v>446</v>
      </c>
      <c r="F75" s="177" t="s">
        <v>430</v>
      </c>
      <c r="G75" s="176" t="s">
        <v>447</v>
      </c>
      <c r="H75" s="189"/>
      <c r="I75" s="188">
        <f>IF(H75=0,0,IF(直圧式水理計算書!G45=0,0,直圧式水理計算書!G45))</f>
        <v>0</v>
      </c>
      <c r="J75" s="187">
        <f>IF(H75=0,0,IF(直圧式水理計算書!I45=0,0,直圧式水理計算書!I45))</f>
        <v>0</v>
      </c>
      <c r="K75" s="187" t="str">
        <f t="shared" si="30"/>
        <v/>
      </c>
      <c r="L75" s="186">
        <f t="shared" si="31"/>
        <v>0</v>
      </c>
      <c r="M75" s="185">
        <f t="shared" si="32"/>
        <v>0</v>
      </c>
      <c r="N75" s="76"/>
      <c r="P75" s="9"/>
      <c r="R75" s="184">
        <f t="shared" si="33"/>
        <v>0</v>
      </c>
      <c r="S75" s="183">
        <f t="shared" si="34"/>
        <v>0</v>
      </c>
      <c r="T75" s="180">
        <f t="shared" si="35"/>
        <v>0</v>
      </c>
      <c r="U75" s="180">
        <f t="shared" si="38"/>
        <v>0</v>
      </c>
      <c r="V75" s="182">
        <f t="shared" si="36"/>
        <v>0</v>
      </c>
      <c r="W75" s="181">
        <f t="shared" si="37"/>
        <v>0</v>
      </c>
      <c r="X75" s="180">
        <f t="shared" si="39"/>
        <v>0</v>
      </c>
      <c r="Y75" s="180">
        <f t="shared" si="40"/>
        <v>0</v>
      </c>
    </row>
    <row r="76" spans="1:25" ht="13.5" customHeight="1" x14ac:dyDescent="0.15">
      <c r="A76" s="76"/>
      <c r="C76" s="414"/>
      <c r="D76" s="179"/>
      <c r="E76" s="178" t="s">
        <v>447</v>
      </c>
      <c r="F76" s="177" t="s">
        <v>430</v>
      </c>
      <c r="G76" s="176" t="s">
        <v>448</v>
      </c>
      <c r="H76" s="189"/>
      <c r="I76" s="188">
        <f>IF(H76=0,0,IF(直圧式水理計算書!G46=0,0,直圧式水理計算書!G46))</f>
        <v>0</v>
      </c>
      <c r="J76" s="187">
        <f>IF(H76=0,0,IF(直圧式水理計算書!I46=0,0,直圧式水理計算書!I46))</f>
        <v>0</v>
      </c>
      <c r="K76" s="187" t="str">
        <f t="shared" si="30"/>
        <v/>
      </c>
      <c r="L76" s="186">
        <f t="shared" si="31"/>
        <v>0</v>
      </c>
      <c r="M76" s="185">
        <f t="shared" si="32"/>
        <v>0</v>
      </c>
      <c r="N76" s="76"/>
      <c r="P76" s="11"/>
      <c r="R76" s="184">
        <f t="shared" si="33"/>
        <v>0</v>
      </c>
      <c r="S76" s="183">
        <f t="shared" si="34"/>
        <v>0</v>
      </c>
      <c r="T76" s="180">
        <f t="shared" si="35"/>
        <v>0</v>
      </c>
      <c r="U76" s="180">
        <f t="shared" si="38"/>
        <v>0</v>
      </c>
      <c r="V76" s="182">
        <f t="shared" si="36"/>
        <v>0</v>
      </c>
      <c r="W76" s="181">
        <f t="shared" si="37"/>
        <v>0</v>
      </c>
      <c r="X76" s="180">
        <f t="shared" si="39"/>
        <v>0</v>
      </c>
      <c r="Y76" s="180">
        <f t="shared" si="40"/>
        <v>0</v>
      </c>
    </row>
    <row r="77" spans="1:25" ht="13.5" customHeight="1" x14ac:dyDescent="0.15">
      <c r="A77" s="76"/>
      <c r="C77" s="414"/>
      <c r="D77" s="179"/>
      <c r="E77" s="178" t="s">
        <v>448</v>
      </c>
      <c r="F77" s="177" t="s">
        <v>430</v>
      </c>
      <c r="G77" s="176" t="s">
        <v>449</v>
      </c>
      <c r="H77" s="175"/>
      <c r="I77" s="174">
        <f>IF(H77=0,0,IF(直圧式水理計算書!G47=0,0,直圧式水理計算書!G47))</f>
        <v>0</v>
      </c>
      <c r="J77" s="173">
        <f>IF(H77=0,0,IF(直圧式水理計算書!I47=0,0,直圧式水理計算書!I47))</f>
        <v>0</v>
      </c>
      <c r="K77" s="173" t="str">
        <f t="shared" si="30"/>
        <v/>
      </c>
      <c r="L77" s="172">
        <f t="shared" si="31"/>
        <v>0</v>
      </c>
      <c r="M77" s="171">
        <f t="shared" si="32"/>
        <v>0</v>
      </c>
      <c r="N77" s="76"/>
      <c r="P77" s="11"/>
      <c r="R77" s="170">
        <f t="shared" si="33"/>
        <v>0</v>
      </c>
      <c r="S77" s="168">
        <f t="shared" si="34"/>
        <v>0</v>
      </c>
      <c r="T77" s="167">
        <f t="shared" si="35"/>
        <v>0</v>
      </c>
      <c r="U77" s="167">
        <f t="shared" si="38"/>
        <v>0</v>
      </c>
      <c r="V77" s="169">
        <f t="shared" si="36"/>
        <v>0</v>
      </c>
      <c r="W77" s="168">
        <f t="shared" si="37"/>
        <v>0</v>
      </c>
      <c r="X77" s="167">
        <f t="shared" si="39"/>
        <v>0</v>
      </c>
      <c r="Y77" s="167">
        <f t="shared" si="40"/>
        <v>0</v>
      </c>
    </row>
    <row r="78" spans="1:25" ht="13.5" customHeight="1" x14ac:dyDescent="0.15">
      <c r="A78" s="76"/>
      <c r="C78" s="415"/>
      <c r="D78" s="143"/>
      <c r="E78" s="419" t="s">
        <v>48</v>
      </c>
      <c r="F78" s="420"/>
      <c r="G78" s="420"/>
      <c r="H78" s="166">
        <f>SUM(H53:H77)</f>
        <v>0</v>
      </c>
      <c r="I78" s="165"/>
      <c r="J78" s="165"/>
      <c r="K78" s="164"/>
      <c r="L78" s="163">
        <f>SUM(L53:L72)</f>
        <v>0</v>
      </c>
      <c r="M78" s="162">
        <f>SUM(M53:M77)</f>
        <v>0</v>
      </c>
      <c r="N78" s="76"/>
      <c r="P78" s="9"/>
    </row>
    <row r="79" spans="1:25" ht="13.5" customHeight="1" x14ac:dyDescent="0.15">
      <c r="A79" s="76"/>
      <c r="B79" s="76"/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9"/>
      <c r="N79" s="76"/>
      <c r="P79" s="9"/>
    </row>
    <row r="80" spans="1:25" ht="13.5" customHeight="1" x14ac:dyDescent="0.15">
      <c r="P80" s="9"/>
    </row>
    <row r="81" spans="16:16" x14ac:dyDescent="0.15">
      <c r="P81" s="9"/>
    </row>
    <row r="82" spans="16:16" x14ac:dyDescent="0.15">
      <c r="P82" s="9"/>
    </row>
    <row r="83" spans="16:16" x14ac:dyDescent="0.15">
      <c r="P83" s="9"/>
    </row>
    <row r="84" spans="16:16" x14ac:dyDescent="0.15">
      <c r="P84" s="11"/>
    </row>
    <row r="85" spans="16:16" x14ac:dyDescent="0.15">
      <c r="P85" s="11"/>
    </row>
    <row r="86" spans="16:16" x14ac:dyDescent="0.15">
      <c r="P86" s="11"/>
    </row>
    <row r="87" spans="16:16" x14ac:dyDescent="0.15">
      <c r="P87" s="9"/>
    </row>
    <row r="88" spans="16:16" x14ac:dyDescent="0.15">
      <c r="P88" s="10"/>
    </row>
    <row r="89" spans="16:16" x14ac:dyDescent="0.15">
      <c r="P89" s="10"/>
    </row>
    <row r="90" spans="16:16" x14ac:dyDescent="0.15">
      <c r="P90" s="10"/>
    </row>
    <row r="91" spans="16:16" x14ac:dyDescent="0.15">
      <c r="P91" s="10"/>
    </row>
    <row r="92" spans="16:16" x14ac:dyDescent="0.15">
      <c r="P92" s="10"/>
    </row>
    <row r="93" spans="16:16" x14ac:dyDescent="0.15">
      <c r="P93" s="10"/>
    </row>
    <row r="94" spans="16:16" x14ac:dyDescent="0.15">
      <c r="P94" s="10"/>
    </row>
    <row r="95" spans="16:16" x14ac:dyDescent="0.15">
      <c r="P95" s="10"/>
    </row>
    <row r="96" spans="16:16" x14ac:dyDescent="0.15">
      <c r="P96" s="10"/>
    </row>
    <row r="97" spans="16:16" x14ac:dyDescent="0.15">
      <c r="P97" s="10"/>
    </row>
    <row r="98" spans="16:16" x14ac:dyDescent="0.15">
      <c r="P98" s="9"/>
    </row>
    <row r="99" spans="16:16" x14ac:dyDescent="0.15">
      <c r="P99" s="9"/>
    </row>
    <row r="100" spans="16:16" x14ac:dyDescent="0.15">
      <c r="P100" s="9"/>
    </row>
    <row r="101" spans="16:16" x14ac:dyDescent="0.15">
      <c r="P101" s="9"/>
    </row>
    <row r="102" spans="16:16" x14ac:dyDescent="0.15">
      <c r="P102" s="10"/>
    </row>
    <row r="103" spans="16:16" x14ac:dyDescent="0.15">
      <c r="P103" s="10"/>
    </row>
    <row r="104" spans="16:16" x14ac:dyDescent="0.15">
      <c r="P104" s="10"/>
    </row>
    <row r="105" spans="16:16" x14ac:dyDescent="0.15">
      <c r="P105" s="10"/>
    </row>
    <row r="106" spans="16:16" x14ac:dyDescent="0.15">
      <c r="P106" s="10"/>
    </row>
    <row r="107" spans="16:16" x14ac:dyDescent="0.15">
      <c r="P107" s="10"/>
    </row>
    <row r="108" spans="16:16" x14ac:dyDescent="0.15">
      <c r="P108" s="10"/>
    </row>
    <row r="109" spans="16:16" x14ac:dyDescent="0.15">
      <c r="P109" s="10"/>
    </row>
    <row r="110" spans="16:16" x14ac:dyDescent="0.15">
      <c r="P110" s="14"/>
    </row>
    <row r="111" spans="16:16" x14ac:dyDescent="0.15">
      <c r="P111" s="10"/>
    </row>
    <row r="112" spans="16:16" x14ac:dyDescent="0.15">
      <c r="P112" s="10"/>
    </row>
    <row r="113" spans="16:16" x14ac:dyDescent="0.15">
      <c r="P113" s="10"/>
    </row>
    <row r="114" spans="16:16" x14ac:dyDescent="0.15">
      <c r="P114" s="10"/>
    </row>
    <row r="115" spans="16:16" x14ac:dyDescent="0.15">
      <c r="P115" s="10"/>
    </row>
    <row r="116" spans="16:16" x14ac:dyDescent="0.15">
      <c r="P116" s="9"/>
    </row>
    <row r="117" spans="16:16" x14ac:dyDescent="0.15">
      <c r="P117" s="9"/>
    </row>
    <row r="118" spans="16:16" x14ac:dyDescent="0.15">
      <c r="P118" s="9"/>
    </row>
    <row r="119" spans="16:16" x14ac:dyDescent="0.15">
      <c r="P119" s="9"/>
    </row>
    <row r="120" spans="16:16" x14ac:dyDescent="0.15">
      <c r="P120" s="9"/>
    </row>
    <row r="121" spans="16:16" x14ac:dyDescent="0.15">
      <c r="P121" s="11"/>
    </row>
    <row r="122" spans="16:16" x14ac:dyDescent="0.15">
      <c r="P122" s="11"/>
    </row>
  </sheetData>
  <mergeCells count="32">
    <mergeCell ref="C2:M2"/>
    <mergeCell ref="R4:U4"/>
    <mergeCell ref="V4:Y4"/>
    <mergeCell ref="C5:C22"/>
    <mergeCell ref="E5:G5"/>
    <mergeCell ref="E6:G6"/>
    <mergeCell ref="E7:G7"/>
    <mergeCell ref="E8:G8"/>
    <mergeCell ref="E9:G9"/>
    <mergeCell ref="E21:G21"/>
    <mergeCell ref="E10:G10"/>
    <mergeCell ref="E11:G11"/>
    <mergeCell ref="E12:G12"/>
    <mergeCell ref="E13:G13"/>
    <mergeCell ref="E14:G14"/>
    <mergeCell ref="E15:G15"/>
    <mergeCell ref="E16:G16"/>
    <mergeCell ref="E17:G17"/>
    <mergeCell ref="E18:G18"/>
    <mergeCell ref="E19:G19"/>
    <mergeCell ref="E20:G20"/>
    <mergeCell ref="E22:G22"/>
    <mergeCell ref="R23:U23"/>
    <mergeCell ref="V23:Y23"/>
    <mergeCell ref="C24:C50"/>
    <mergeCell ref="E24:G24"/>
    <mergeCell ref="E50:G50"/>
    <mergeCell ref="R51:U51"/>
    <mergeCell ref="V51:Y51"/>
    <mergeCell ref="C52:C78"/>
    <mergeCell ref="E52:G52"/>
    <mergeCell ref="E78:G78"/>
  </mergeCells>
  <phoneticPr fontId="2"/>
  <dataValidations count="1">
    <dataValidation type="list" allowBlank="1" showInputMessage="1" showErrorMessage="1" sqref="I6:I21">
      <formula1>$AA$8:$AA$19</formula1>
    </dataValidation>
  </dataValidations>
  <printOptions horizontalCentered="1"/>
  <pageMargins left="0.65" right="0.65" top="0.56999999999999995" bottom="0.64" header="0.31496062992125984" footer="0.41"/>
  <pageSetup paperSize="9" scale="74" orientation="portrait" horizontalDpi="300" verticalDpi="300" r:id="rId1"/>
  <headerFooter alignWithMargins="0">
    <oddFooter>&amp;C&amp;"ＭＳ Ｐゴシック,太字"2&amp;"ＭＳ Ｐゴシック,標準" 　&amp;R(Ver4.0)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66"/>
  <sheetViews>
    <sheetView workbookViewId="0">
      <selection activeCell="G17" sqref="G17"/>
    </sheetView>
  </sheetViews>
  <sheetFormatPr defaultRowHeight="13.5" x14ac:dyDescent="0.15"/>
  <cols>
    <col min="1" max="1" width="2.625" customWidth="1"/>
    <col min="2" max="2" width="3.625" customWidth="1"/>
    <col min="3" max="3" width="10.625" customWidth="1"/>
    <col min="4" max="4" width="6.625" customWidth="1"/>
    <col min="5" max="17" width="5.625" customWidth="1"/>
    <col min="18" max="19" width="2.625" customWidth="1"/>
    <col min="20" max="20" width="10.625" customWidth="1"/>
    <col min="21" max="21" width="5.125" customWidth="1"/>
    <col min="22" max="22" width="2.625" customWidth="1"/>
    <col min="23" max="23" width="49.125" customWidth="1"/>
    <col min="24" max="24" width="2.625" customWidth="1"/>
    <col min="25" max="25" width="8.125" customWidth="1"/>
    <col min="26" max="57" width="5.625" customWidth="1"/>
  </cols>
  <sheetData>
    <row r="1" spans="1:55" ht="11.25" customHeight="1" thickBot="1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</row>
    <row r="2" spans="1:55" ht="18" customHeight="1" thickBot="1" x14ac:dyDescent="0.25">
      <c r="A2" s="20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3"/>
      <c r="P2" s="3"/>
      <c r="Q2" s="3"/>
      <c r="R2" s="20"/>
      <c r="W2" s="38" t="s">
        <v>63</v>
      </c>
      <c r="Y2" s="3"/>
      <c r="Z2" s="40" t="s">
        <v>229</v>
      </c>
      <c r="AA2" s="3"/>
      <c r="AB2" s="3"/>
      <c r="AC2" s="3"/>
      <c r="AD2" s="3"/>
      <c r="AE2" s="3"/>
      <c r="AF2" s="3"/>
      <c r="AG2" s="3"/>
      <c r="AH2" s="3"/>
    </row>
    <row r="3" spans="1:55" ht="15.95" customHeight="1" x14ac:dyDescent="0.15">
      <c r="A3" s="20"/>
      <c r="C3" s="82" t="s">
        <v>341</v>
      </c>
      <c r="D3" s="22"/>
      <c r="E3" s="22"/>
      <c r="F3" s="23"/>
      <c r="G3" s="22"/>
      <c r="H3" s="22"/>
      <c r="I3" s="22"/>
      <c r="J3" s="22"/>
      <c r="R3" s="20"/>
      <c r="T3" s="75" t="s">
        <v>295</v>
      </c>
      <c r="W3" s="9"/>
      <c r="Y3" s="41"/>
      <c r="Z3" s="451" t="s">
        <v>230</v>
      </c>
      <c r="AA3" s="452"/>
      <c r="AB3" s="452"/>
      <c r="AC3" s="452"/>
      <c r="AD3" s="453"/>
      <c r="AE3" s="41"/>
      <c r="AF3" s="41"/>
      <c r="AG3" s="41"/>
      <c r="AH3" s="3"/>
    </row>
    <row r="4" spans="1:55" ht="15" customHeight="1" x14ac:dyDescent="0.15">
      <c r="A4" s="20"/>
      <c r="C4" s="463" t="s">
        <v>56</v>
      </c>
      <c r="D4" s="465" t="s">
        <v>198</v>
      </c>
      <c r="E4" s="465"/>
      <c r="F4" s="467" t="s">
        <v>199</v>
      </c>
      <c r="G4" s="468"/>
      <c r="H4" s="468"/>
      <c r="I4" s="468"/>
      <c r="J4" s="468"/>
      <c r="K4" s="468"/>
      <c r="L4" s="468"/>
      <c r="M4" s="468"/>
      <c r="N4" s="468"/>
      <c r="O4" s="468"/>
      <c r="P4" s="468"/>
      <c r="Q4" s="469"/>
      <c r="R4" s="20"/>
      <c r="T4" s="441" t="s">
        <v>200</v>
      </c>
      <c r="U4" s="443">
        <v>10</v>
      </c>
      <c r="W4" s="9"/>
      <c r="Y4" s="42" t="s">
        <v>231</v>
      </c>
      <c r="Z4" s="41"/>
      <c r="AA4" s="41"/>
      <c r="AB4" s="41"/>
      <c r="AC4" s="41"/>
      <c r="AD4" s="41"/>
      <c r="AE4" s="41"/>
      <c r="AF4" s="41"/>
      <c r="AG4" s="41"/>
      <c r="AH4" s="3"/>
    </row>
    <row r="5" spans="1:55" ht="15" customHeight="1" x14ac:dyDescent="0.15">
      <c r="A5" s="20"/>
      <c r="C5" s="464"/>
      <c r="D5" s="466"/>
      <c r="E5" s="466"/>
      <c r="F5" s="68" t="s">
        <v>37</v>
      </c>
      <c r="G5" s="68" t="s">
        <v>38</v>
      </c>
      <c r="H5" s="68" t="s">
        <v>39</v>
      </c>
      <c r="I5" s="68" t="s">
        <v>36</v>
      </c>
      <c r="J5" s="68" t="s">
        <v>40</v>
      </c>
      <c r="K5" s="68" t="s">
        <v>42</v>
      </c>
      <c r="L5" s="68" t="s">
        <v>43</v>
      </c>
      <c r="M5" s="68" t="s">
        <v>44</v>
      </c>
      <c r="N5" s="68" t="s">
        <v>51</v>
      </c>
      <c r="O5" s="68" t="s">
        <v>260</v>
      </c>
      <c r="P5" s="68" t="s">
        <v>261</v>
      </c>
      <c r="Q5" s="68" t="s">
        <v>262</v>
      </c>
      <c r="R5" s="20"/>
      <c r="T5" s="442"/>
      <c r="U5" s="443">
        <v>2</v>
      </c>
      <c r="W5" s="9" t="s">
        <v>246</v>
      </c>
      <c r="Y5" s="41" t="s">
        <v>232</v>
      </c>
      <c r="Z5" s="41"/>
      <c r="AA5" s="41"/>
      <c r="AB5" s="41"/>
      <c r="AC5" s="41"/>
      <c r="AD5" s="41"/>
      <c r="AE5" s="41"/>
      <c r="AF5" s="3"/>
      <c r="AG5" s="41"/>
      <c r="AH5" s="3"/>
      <c r="AI5" s="43"/>
    </row>
    <row r="6" spans="1:55" ht="15" customHeight="1" thickBot="1" x14ac:dyDescent="0.2">
      <c r="A6" s="20"/>
      <c r="C6" s="441" t="s">
        <v>200</v>
      </c>
      <c r="D6" s="443">
        <v>10</v>
      </c>
      <c r="E6" s="39" t="s">
        <v>33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0"/>
      <c r="T6" s="461" t="s">
        <v>201</v>
      </c>
      <c r="U6" s="443">
        <v>5</v>
      </c>
      <c r="W6" s="67" t="s">
        <v>248</v>
      </c>
      <c r="Y6" s="43"/>
      <c r="AF6" s="44" t="str">
        <f>F5</f>
        <v>A</v>
      </c>
      <c r="AG6" s="44" t="str">
        <f t="shared" ref="AG6:AQ6" si="0">G5</f>
        <v>B</v>
      </c>
      <c r="AH6" s="44" t="str">
        <f t="shared" si="0"/>
        <v>C</v>
      </c>
      <c r="AI6" s="44" t="str">
        <f t="shared" si="0"/>
        <v>D</v>
      </c>
      <c r="AJ6" s="44" t="str">
        <f t="shared" si="0"/>
        <v>E</v>
      </c>
      <c r="AK6" s="44" t="str">
        <f t="shared" si="0"/>
        <v>F</v>
      </c>
      <c r="AL6" s="44" t="str">
        <f t="shared" si="0"/>
        <v>G</v>
      </c>
      <c r="AM6" s="44" t="str">
        <f t="shared" si="0"/>
        <v>H</v>
      </c>
      <c r="AN6" s="44" t="str">
        <f t="shared" si="0"/>
        <v>I</v>
      </c>
      <c r="AO6" s="44" t="str">
        <f t="shared" si="0"/>
        <v>J</v>
      </c>
      <c r="AP6" s="44" t="str">
        <f t="shared" si="0"/>
        <v>K</v>
      </c>
      <c r="AQ6" s="44" t="str">
        <f t="shared" si="0"/>
        <v>L</v>
      </c>
    </row>
    <row r="7" spans="1:55" ht="15" customHeight="1" thickBot="1" x14ac:dyDescent="0.2">
      <c r="A7" s="20"/>
      <c r="C7" s="442"/>
      <c r="D7" s="443">
        <v>2</v>
      </c>
      <c r="E7" s="70" t="s">
        <v>202</v>
      </c>
      <c r="F7" s="25" t="str">
        <f>IF(F6="","",$D6*F6)</f>
        <v/>
      </c>
      <c r="G7" s="25" t="str">
        <f t="shared" ref="G7:Q7" si="1">IF(G6="","",$D6*G6)</f>
        <v/>
      </c>
      <c r="H7" s="25" t="str">
        <f t="shared" si="1"/>
        <v/>
      </c>
      <c r="I7" s="25" t="str">
        <f t="shared" si="1"/>
        <v/>
      </c>
      <c r="J7" s="25" t="str">
        <f t="shared" si="1"/>
        <v/>
      </c>
      <c r="K7" s="25" t="str">
        <f t="shared" si="1"/>
        <v/>
      </c>
      <c r="L7" s="25" t="str">
        <f t="shared" si="1"/>
        <v/>
      </c>
      <c r="M7" s="25" t="str">
        <f t="shared" si="1"/>
        <v/>
      </c>
      <c r="N7" s="25" t="str">
        <f t="shared" si="1"/>
        <v/>
      </c>
      <c r="O7" s="25" t="str">
        <f t="shared" si="1"/>
        <v/>
      </c>
      <c r="P7" s="25" t="str">
        <f t="shared" si="1"/>
        <v/>
      </c>
      <c r="Q7" s="25" t="str">
        <f t="shared" si="1"/>
        <v/>
      </c>
      <c r="R7" s="20"/>
      <c r="T7" s="462"/>
      <c r="U7" s="443">
        <v>2</v>
      </c>
      <c r="W7" s="67" t="s">
        <v>249</v>
      </c>
      <c r="Y7" s="41"/>
      <c r="AF7" s="61" t="str">
        <f>IF($F44="大便器で洗浄タンクの多い場合",F41,"")</f>
        <v/>
      </c>
      <c r="AG7" s="61" t="str">
        <f t="shared" ref="AG7:AQ7" si="2">IF($F44="大便器で洗浄タンクの多い場合",G41,"")</f>
        <v/>
      </c>
      <c r="AH7" s="61" t="str">
        <f t="shared" si="2"/>
        <v/>
      </c>
      <c r="AI7" s="61" t="str">
        <f t="shared" si="2"/>
        <v/>
      </c>
      <c r="AJ7" s="61" t="str">
        <f t="shared" si="2"/>
        <v/>
      </c>
      <c r="AK7" s="61" t="str">
        <f t="shared" si="2"/>
        <v/>
      </c>
      <c r="AL7" s="61" t="str">
        <f t="shared" si="2"/>
        <v/>
      </c>
      <c r="AM7" s="61" t="str">
        <f t="shared" si="2"/>
        <v/>
      </c>
      <c r="AN7" s="61" t="str">
        <f t="shared" si="2"/>
        <v/>
      </c>
      <c r="AO7" s="61" t="str">
        <f t="shared" si="2"/>
        <v/>
      </c>
      <c r="AP7" s="61" t="str">
        <f t="shared" si="2"/>
        <v/>
      </c>
      <c r="AQ7" s="61" t="str">
        <f t="shared" si="2"/>
        <v/>
      </c>
      <c r="AR7" s="41" t="s">
        <v>233</v>
      </c>
    </row>
    <row r="8" spans="1:55" ht="15" customHeight="1" thickBot="1" x14ac:dyDescent="0.2">
      <c r="A8" s="20"/>
      <c r="C8" s="461" t="s">
        <v>201</v>
      </c>
      <c r="D8" s="443">
        <v>5</v>
      </c>
      <c r="E8" s="39" t="s">
        <v>33</v>
      </c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0"/>
      <c r="T8" s="441" t="s">
        <v>203</v>
      </c>
      <c r="U8" s="443">
        <v>5</v>
      </c>
      <c r="W8" s="67" t="s">
        <v>250</v>
      </c>
      <c r="Y8" s="41"/>
      <c r="AF8" s="61" t="str">
        <f>IF($F44="大便器で洗浄弁の多い場合",F41,"")</f>
        <v/>
      </c>
      <c r="AG8" s="61" t="str">
        <f t="shared" ref="AG8:AQ8" si="3">IF($F44="大便器で洗浄弁の多い場合",G41,"")</f>
        <v/>
      </c>
      <c r="AH8" s="61" t="str">
        <f t="shared" si="3"/>
        <v/>
      </c>
      <c r="AI8" s="61" t="str">
        <f t="shared" si="3"/>
        <v/>
      </c>
      <c r="AJ8" s="61" t="str">
        <f t="shared" si="3"/>
        <v/>
      </c>
      <c r="AK8" s="61" t="str">
        <f t="shared" si="3"/>
        <v/>
      </c>
      <c r="AL8" s="61" t="str">
        <f t="shared" si="3"/>
        <v/>
      </c>
      <c r="AM8" s="61" t="str">
        <f t="shared" si="3"/>
        <v/>
      </c>
      <c r="AN8" s="61" t="str">
        <f t="shared" si="3"/>
        <v/>
      </c>
      <c r="AO8" s="61" t="str">
        <f t="shared" si="3"/>
        <v/>
      </c>
      <c r="AP8" s="61" t="str">
        <f t="shared" si="3"/>
        <v/>
      </c>
      <c r="AQ8" s="61" t="str">
        <f t="shared" si="3"/>
        <v/>
      </c>
      <c r="AR8" s="41" t="s">
        <v>234</v>
      </c>
    </row>
    <row r="9" spans="1:55" ht="15" customHeight="1" x14ac:dyDescent="0.15">
      <c r="A9" s="20"/>
      <c r="C9" s="462"/>
      <c r="D9" s="443">
        <v>2</v>
      </c>
      <c r="E9" s="70" t="s">
        <v>202</v>
      </c>
      <c r="F9" s="25" t="str">
        <f t="shared" ref="F9:Q9" si="4">IF(F8="","",$D8*F8)</f>
        <v/>
      </c>
      <c r="G9" s="25" t="str">
        <f t="shared" si="4"/>
        <v/>
      </c>
      <c r="H9" s="25" t="str">
        <f t="shared" si="4"/>
        <v/>
      </c>
      <c r="I9" s="25" t="str">
        <f t="shared" si="4"/>
        <v/>
      </c>
      <c r="J9" s="25" t="str">
        <f t="shared" si="4"/>
        <v/>
      </c>
      <c r="K9" s="25" t="str">
        <f t="shared" si="4"/>
        <v/>
      </c>
      <c r="L9" s="25" t="str">
        <f t="shared" si="4"/>
        <v/>
      </c>
      <c r="M9" s="25" t="str">
        <f t="shared" si="4"/>
        <v/>
      </c>
      <c r="N9" s="25" t="str">
        <f t="shared" si="4"/>
        <v/>
      </c>
      <c r="O9" s="25" t="str">
        <f t="shared" si="4"/>
        <v/>
      </c>
      <c r="P9" s="25" t="str">
        <f t="shared" si="4"/>
        <v/>
      </c>
      <c r="Q9" s="25" t="str">
        <f t="shared" si="4"/>
        <v/>
      </c>
      <c r="R9" s="20"/>
      <c r="T9" s="442"/>
      <c r="U9" s="443">
        <v>2</v>
      </c>
      <c r="W9" s="67" t="s">
        <v>247</v>
      </c>
    </row>
    <row r="10" spans="1:55" ht="15" customHeight="1" x14ac:dyDescent="0.15">
      <c r="A10" s="20"/>
      <c r="C10" s="441" t="s">
        <v>203</v>
      </c>
      <c r="D10" s="443">
        <v>5</v>
      </c>
      <c r="E10" s="39" t="s">
        <v>33</v>
      </c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0"/>
      <c r="T10" s="441" t="s">
        <v>205</v>
      </c>
      <c r="U10" s="443">
        <v>2</v>
      </c>
      <c r="W10" s="67" t="s">
        <v>251</v>
      </c>
      <c r="Y10" s="1" t="s">
        <v>235</v>
      </c>
      <c r="Z10" s="1" t="s">
        <v>236</v>
      </c>
      <c r="AA10" s="1" t="s">
        <v>237</v>
      </c>
      <c r="AB10" s="1" t="s">
        <v>238</v>
      </c>
      <c r="AC10" s="1" t="s">
        <v>239</v>
      </c>
      <c r="AD10" s="1" t="s">
        <v>240</v>
      </c>
      <c r="AE10" s="1" t="s">
        <v>241</v>
      </c>
      <c r="AF10" s="454" t="s">
        <v>202</v>
      </c>
      <c r="AG10" s="455"/>
      <c r="AH10" s="455"/>
      <c r="AI10" s="455"/>
      <c r="AJ10" s="455"/>
      <c r="AK10" s="455"/>
      <c r="AL10" s="455"/>
      <c r="AM10" s="455"/>
      <c r="AN10" s="455"/>
      <c r="AO10" s="455"/>
      <c r="AP10" s="455"/>
      <c r="AQ10" s="456"/>
      <c r="AR10" s="457" t="s">
        <v>242</v>
      </c>
      <c r="AS10" s="439"/>
      <c r="AT10" s="439"/>
      <c r="AU10" s="439"/>
      <c r="AV10" s="439"/>
      <c r="AW10" s="439"/>
      <c r="AX10" s="439"/>
      <c r="AY10" s="439"/>
      <c r="AZ10" s="439"/>
      <c r="BA10" s="439"/>
      <c r="BB10" s="439"/>
      <c r="BC10" s="440"/>
    </row>
    <row r="11" spans="1:55" ht="15" customHeight="1" x14ac:dyDescent="0.15">
      <c r="A11" s="20"/>
      <c r="C11" s="442"/>
      <c r="D11" s="443">
        <v>2</v>
      </c>
      <c r="E11" s="70" t="s">
        <v>202</v>
      </c>
      <c r="F11" s="25" t="str">
        <f>IF(F10="","",$D10*F10)</f>
        <v/>
      </c>
      <c r="G11" s="25" t="str">
        <f t="shared" ref="G11:Q11" si="5">IF(G10="","",$D10*G10)</f>
        <v/>
      </c>
      <c r="H11" s="25" t="str">
        <f t="shared" si="5"/>
        <v/>
      </c>
      <c r="I11" s="25" t="str">
        <f t="shared" si="5"/>
        <v/>
      </c>
      <c r="J11" s="25" t="str">
        <f t="shared" si="5"/>
        <v/>
      </c>
      <c r="K11" s="25" t="str">
        <f t="shared" si="5"/>
        <v/>
      </c>
      <c r="L11" s="25" t="str">
        <f t="shared" si="5"/>
        <v/>
      </c>
      <c r="M11" s="25" t="str">
        <f t="shared" si="5"/>
        <v/>
      </c>
      <c r="N11" s="25" t="str">
        <f t="shared" si="5"/>
        <v/>
      </c>
      <c r="O11" s="25" t="str">
        <f t="shared" si="5"/>
        <v/>
      </c>
      <c r="P11" s="25" t="str">
        <f t="shared" si="5"/>
        <v/>
      </c>
      <c r="Q11" s="25" t="str">
        <f t="shared" si="5"/>
        <v/>
      </c>
      <c r="R11" s="20"/>
      <c r="T11" s="442"/>
      <c r="U11" s="443">
        <v>2</v>
      </c>
      <c r="W11" s="67" t="s">
        <v>252</v>
      </c>
      <c r="Y11" s="458" t="s">
        <v>243</v>
      </c>
      <c r="Z11" s="45">
        <v>4</v>
      </c>
      <c r="AA11" s="45">
        <v>18</v>
      </c>
      <c r="AB11" s="45">
        <v>19</v>
      </c>
      <c r="AC11" s="45">
        <v>48</v>
      </c>
      <c r="AD11" s="46">
        <f>($AC11-$AB11)/($AA11-$Z11)</f>
        <v>2.0714285714285716</v>
      </c>
      <c r="AE11" s="47">
        <f>AB11</f>
        <v>19</v>
      </c>
      <c r="AF11" s="48" t="str">
        <f>IF(AF$7&gt;$Z11,IF(AF$7&lt;=$AA11,AF$7,""),"")</f>
        <v/>
      </c>
      <c r="AG11" s="48" t="str">
        <f t="shared" ref="AG11:AQ20" si="6">IF(AG$7&gt;$Z11,IF(AG$7&lt;=$AA11,AG$7,""),"")</f>
        <v/>
      </c>
      <c r="AH11" s="48" t="str">
        <f t="shared" si="6"/>
        <v/>
      </c>
      <c r="AI11" s="48" t="str">
        <f t="shared" si="6"/>
        <v/>
      </c>
      <c r="AJ11" s="48" t="str">
        <f t="shared" si="6"/>
        <v/>
      </c>
      <c r="AK11" s="48" t="str">
        <f t="shared" si="6"/>
        <v/>
      </c>
      <c r="AL11" s="48" t="str">
        <f t="shared" si="6"/>
        <v/>
      </c>
      <c r="AM11" s="48" t="str">
        <f t="shared" si="6"/>
        <v/>
      </c>
      <c r="AN11" s="48" t="str">
        <f t="shared" si="6"/>
        <v/>
      </c>
      <c r="AO11" s="48" t="str">
        <f t="shared" si="6"/>
        <v/>
      </c>
      <c r="AP11" s="48" t="str">
        <f t="shared" si="6"/>
        <v/>
      </c>
      <c r="AQ11" s="48" t="str">
        <f t="shared" si="6"/>
        <v/>
      </c>
      <c r="AR11" s="49" t="str">
        <f>IF(AF11="","",ROUND(($AD11*(AF11-$Z11)+$AB11),0))</f>
        <v/>
      </c>
      <c r="AS11" s="49" t="str">
        <f t="shared" ref="AS11:BC11" si="7">IF(AG11="","",ROUND(($AD11*(AG11-$Z11)+$AB11),0))</f>
        <v/>
      </c>
      <c r="AT11" s="49" t="str">
        <f t="shared" si="7"/>
        <v/>
      </c>
      <c r="AU11" s="49" t="str">
        <f t="shared" si="7"/>
        <v/>
      </c>
      <c r="AV11" s="49" t="str">
        <f t="shared" si="7"/>
        <v/>
      </c>
      <c r="AW11" s="49" t="str">
        <f t="shared" si="7"/>
        <v/>
      </c>
      <c r="AX11" s="49" t="str">
        <f t="shared" si="7"/>
        <v/>
      </c>
      <c r="AY11" s="49" t="str">
        <f t="shared" si="7"/>
        <v/>
      </c>
      <c r="AZ11" s="49" t="str">
        <f t="shared" si="7"/>
        <v/>
      </c>
      <c r="BA11" s="49" t="str">
        <f t="shared" si="7"/>
        <v/>
      </c>
      <c r="BB11" s="49" t="str">
        <f t="shared" si="7"/>
        <v/>
      </c>
      <c r="BC11" s="49" t="str">
        <f t="shared" si="7"/>
        <v/>
      </c>
    </row>
    <row r="12" spans="1:55" ht="15" customHeight="1" x14ac:dyDescent="0.15">
      <c r="A12" s="20"/>
      <c r="C12" s="441" t="s">
        <v>204</v>
      </c>
      <c r="D12" s="443">
        <v>2</v>
      </c>
      <c r="E12" s="39" t="s">
        <v>33</v>
      </c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0"/>
      <c r="T12" s="441" t="s">
        <v>206</v>
      </c>
      <c r="U12" s="443">
        <v>1</v>
      </c>
      <c r="Y12" s="459"/>
      <c r="Z12" s="50">
        <f>$AA11</f>
        <v>18</v>
      </c>
      <c r="AA12" s="45">
        <v>32</v>
      </c>
      <c r="AB12" s="50">
        <f>$AC11</f>
        <v>48</v>
      </c>
      <c r="AC12" s="45">
        <v>74</v>
      </c>
      <c r="AD12" s="46">
        <f t="shared" ref="AD12:AD25" si="8">($AC12-$AB12)/($AA12-$Z12)</f>
        <v>1.8571428571428572</v>
      </c>
      <c r="AE12" s="47">
        <f t="shared" ref="AE12:AE33" si="9">AB12</f>
        <v>48</v>
      </c>
      <c r="AF12" s="48" t="str">
        <f t="shared" ref="AF12:AF25" si="10">IF(AF$7&gt;$Z12,IF(AF$7&lt;=$AA12,AF$7,""),"")</f>
        <v/>
      </c>
      <c r="AG12" s="48" t="str">
        <f t="shared" si="6"/>
        <v/>
      </c>
      <c r="AH12" s="48" t="str">
        <f t="shared" si="6"/>
        <v/>
      </c>
      <c r="AI12" s="48" t="str">
        <f t="shared" si="6"/>
        <v/>
      </c>
      <c r="AJ12" s="48" t="str">
        <f t="shared" si="6"/>
        <v/>
      </c>
      <c r="AK12" s="48" t="str">
        <f t="shared" si="6"/>
        <v/>
      </c>
      <c r="AL12" s="48" t="str">
        <f t="shared" si="6"/>
        <v/>
      </c>
      <c r="AM12" s="48" t="str">
        <f t="shared" si="6"/>
        <v/>
      </c>
      <c r="AN12" s="48" t="str">
        <f t="shared" si="6"/>
        <v/>
      </c>
      <c r="AO12" s="48" t="str">
        <f t="shared" si="6"/>
        <v/>
      </c>
      <c r="AP12" s="48" t="str">
        <f t="shared" si="6"/>
        <v/>
      </c>
      <c r="AQ12" s="48" t="str">
        <f t="shared" si="6"/>
        <v/>
      </c>
      <c r="AR12" s="49" t="str">
        <f t="shared" ref="AR12:AR25" si="11">IF(AF12="","",ROUND(($AD12*(AF12-$Z12)+$AB12),0))</f>
        <v/>
      </c>
      <c r="AS12" s="49" t="str">
        <f t="shared" ref="AS12:AS25" si="12">IF(AG12="","",ROUND(($AD12*(AG12-$Z12)+$AB12),0))</f>
        <v/>
      </c>
      <c r="AT12" s="49" t="str">
        <f t="shared" ref="AT12:AT25" si="13">IF(AH12="","",ROUND(($AD12*(AH12-$Z12)+$AB12),0))</f>
        <v/>
      </c>
      <c r="AU12" s="49" t="str">
        <f t="shared" ref="AU12:AU25" si="14">IF(AI12="","",ROUND(($AD12*(AI12-$Z12)+$AB12),0))</f>
        <v/>
      </c>
      <c r="AV12" s="49" t="str">
        <f t="shared" ref="AV12:AV25" si="15">IF(AJ12="","",ROUND(($AD12*(AJ12-$Z12)+$AB12),0))</f>
        <v/>
      </c>
      <c r="AW12" s="49" t="str">
        <f t="shared" ref="AW12:AW25" si="16">IF(AK12="","",ROUND(($AD12*(AK12-$Z12)+$AB12),0))</f>
        <v/>
      </c>
      <c r="AX12" s="49" t="str">
        <f t="shared" ref="AX12:AX25" si="17">IF(AL12="","",ROUND(($AD12*(AL12-$Z12)+$AB12),0))</f>
        <v/>
      </c>
      <c r="AY12" s="49" t="str">
        <f t="shared" ref="AY12:AY25" si="18">IF(AM12="","",ROUND(($AD12*(AM12-$Z12)+$AB12),0))</f>
        <v/>
      </c>
      <c r="AZ12" s="49" t="str">
        <f t="shared" ref="AZ12:AZ25" si="19">IF(AN12="","",ROUND(($AD12*(AN12-$Z12)+$AB12),0))</f>
        <v/>
      </c>
      <c r="BA12" s="49" t="str">
        <f t="shared" ref="BA12:BA25" si="20">IF(AO12="","",ROUND(($AD12*(AO12-$Z12)+$AB12),0))</f>
        <v/>
      </c>
      <c r="BB12" s="49" t="str">
        <f t="shared" ref="BB12:BB25" si="21">IF(AP12="","",ROUND(($AD12*(AP12-$Z12)+$AB12),0))</f>
        <v/>
      </c>
      <c r="BC12" s="49" t="str">
        <f t="shared" ref="BC12:BC25" si="22">IF(AQ12="","",ROUND(($AD12*(AQ12-$Z12)+$AB12),0))</f>
        <v/>
      </c>
    </row>
    <row r="13" spans="1:55" ht="15" customHeight="1" x14ac:dyDescent="0.15">
      <c r="A13" s="20"/>
      <c r="C13" s="442"/>
      <c r="D13" s="443">
        <v>2</v>
      </c>
      <c r="E13" s="70" t="s">
        <v>202</v>
      </c>
      <c r="F13" s="25" t="str">
        <f t="shared" ref="F13:Q13" si="23">IF(F12="","",$D12*F12)</f>
        <v/>
      </c>
      <c r="G13" s="25" t="str">
        <f t="shared" si="23"/>
        <v/>
      </c>
      <c r="H13" s="25" t="str">
        <f t="shared" si="23"/>
        <v/>
      </c>
      <c r="I13" s="25" t="str">
        <f t="shared" si="23"/>
        <v/>
      </c>
      <c r="J13" s="25" t="str">
        <f t="shared" si="23"/>
        <v/>
      </c>
      <c r="K13" s="25" t="str">
        <f t="shared" si="23"/>
        <v/>
      </c>
      <c r="L13" s="25" t="str">
        <f t="shared" si="23"/>
        <v/>
      </c>
      <c r="M13" s="25" t="str">
        <f t="shared" si="23"/>
        <v/>
      </c>
      <c r="N13" s="25" t="str">
        <f t="shared" si="23"/>
        <v/>
      </c>
      <c r="O13" s="25" t="str">
        <f t="shared" si="23"/>
        <v/>
      </c>
      <c r="P13" s="25" t="str">
        <f t="shared" si="23"/>
        <v/>
      </c>
      <c r="Q13" s="25" t="str">
        <f t="shared" si="23"/>
        <v/>
      </c>
      <c r="R13" s="20"/>
      <c r="T13" s="442"/>
      <c r="U13" s="443">
        <v>2</v>
      </c>
      <c r="W13" s="67" t="s">
        <v>253</v>
      </c>
      <c r="Y13" s="459"/>
      <c r="Z13" s="50">
        <f t="shared" ref="Z13:Z25" si="24">$AA12</f>
        <v>32</v>
      </c>
      <c r="AA13" s="45">
        <v>47</v>
      </c>
      <c r="AB13" s="50">
        <f t="shared" ref="AB13:AB25" si="25">$AC12</f>
        <v>74</v>
      </c>
      <c r="AC13" s="45">
        <v>100</v>
      </c>
      <c r="AD13" s="46">
        <f t="shared" si="8"/>
        <v>1.7333333333333334</v>
      </c>
      <c r="AE13" s="47">
        <f t="shared" si="9"/>
        <v>74</v>
      </c>
      <c r="AF13" s="48" t="str">
        <f t="shared" si="10"/>
        <v/>
      </c>
      <c r="AG13" s="48" t="str">
        <f t="shared" si="6"/>
        <v/>
      </c>
      <c r="AH13" s="48" t="str">
        <f t="shared" si="6"/>
        <v/>
      </c>
      <c r="AI13" s="48" t="str">
        <f t="shared" si="6"/>
        <v/>
      </c>
      <c r="AJ13" s="48" t="str">
        <f t="shared" si="6"/>
        <v/>
      </c>
      <c r="AK13" s="48" t="str">
        <f t="shared" si="6"/>
        <v/>
      </c>
      <c r="AL13" s="48" t="str">
        <f t="shared" si="6"/>
        <v/>
      </c>
      <c r="AM13" s="48" t="str">
        <f t="shared" si="6"/>
        <v/>
      </c>
      <c r="AN13" s="48" t="str">
        <f t="shared" si="6"/>
        <v/>
      </c>
      <c r="AO13" s="48" t="str">
        <f t="shared" si="6"/>
        <v/>
      </c>
      <c r="AP13" s="48" t="str">
        <f t="shared" si="6"/>
        <v/>
      </c>
      <c r="AQ13" s="48" t="str">
        <f t="shared" si="6"/>
        <v/>
      </c>
      <c r="AR13" s="49" t="str">
        <f t="shared" si="11"/>
        <v/>
      </c>
      <c r="AS13" s="49" t="str">
        <f t="shared" si="12"/>
        <v/>
      </c>
      <c r="AT13" s="49" t="str">
        <f t="shared" si="13"/>
        <v/>
      </c>
      <c r="AU13" s="49" t="str">
        <f t="shared" si="14"/>
        <v/>
      </c>
      <c r="AV13" s="49" t="str">
        <f t="shared" si="15"/>
        <v/>
      </c>
      <c r="AW13" s="49" t="str">
        <f t="shared" si="16"/>
        <v/>
      </c>
      <c r="AX13" s="49" t="str">
        <f t="shared" si="17"/>
        <v/>
      </c>
      <c r="AY13" s="49" t="str">
        <f t="shared" si="18"/>
        <v/>
      </c>
      <c r="AZ13" s="49" t="str">
        <f t="shared" si="19"/>
        <v/>
      </c>
      <c r="BA13" s="49" t="str">
        <f t="shared" si="20"/>
        <v/>
      </c>
      <c r="BB13" s="49" t="str">
        <f t="shared" si="21"/>
        <v/>
      </c>
      <c r="BC13" s="49" t="str">
        <f t="shared" si="22"/>
        <v/>
      </c>
    </row>
    <row r="14" spans="1:55" ht="15" customHeight="1" x14ac:dyDescent="0.15">
      <c r="A14" s="20"/>
      <c r="C14" s="441" t="s">
        <v>207</v>
      </c>
      <c r="D14" s="443">
        <v>1</v>
      </c>
      <c r="E14" s="39" t="s">
        <v>33</v>
      </c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0"/>
      <c r="T14" s="441" t="s">
        <v>208</v>
      </c>
      <c r="U14" s="443">
        <v>4</v>
      </c>
      <c r="W14" s="67" t="s">
        <v>254</v>
      </c>
      <c r="Y14" s="459"/>
      <c r="Z14" s="50">
        <f t="shared" si="24"/>
        <v>47</v>
      </c>
      <c r="AA14" s="45">
        <v>71</v>
      </c>
      <c r="AB14" s="50">
        <f t="shared" si="25"/>
        <v>100</v>
      </c>
      <c r="AC14" s="45">
        <v>132</v>
      </c>
      <c r="AD14" s="46">
        <f t="shared" si="8"/>
        <v>1.3333333333333333</v>
      </c>
      <c r="AE14" s="47">
        <f t="shared" si="9"/>
        <v>100</v>
      </c>
      <c r="AF14" s="48" t="str">
        <f t="shared" si="10"/>
        <v/>
      </c>
      <c r="AG14" s="48" t="str">
        <f t="shared" si="6"/>
        <v/>
      </c>
      <c r="AH14" s="48" t="str">
        <f t="shared" si="6"/>
        <v/>
      </c>
      <c r="AI14" s="48" t="str">
        <f t="shared" si="6"/>
        <v/>
      </c>
      <c r="AJ14" s="48" t="str">
        <f t="shared" si="6"/>
        <v/>
      </c>
      <c r="AK14" s="48" t="str">
        <f t="shared" si="6"/>
        <v/>
      </c>
      <c r="AL14" s="48" t="str">
        <f t="shared" si="6"/>
        <v/>
      </c>
      <c r="AM14" s="48" t="str">
        <f t="shared" si="6"/>
        <v/>
      </c>
      <c r="AN14" s="48" t="str">
        <f t="shared" si="6"/>
        <v/>
      </c>
      <c r="AO14" s="48" t="str">
        <f t="shared" si="6"/>
        <v/>
      </c>
      <c r="AP14" s="48" t="str">
        <f t="shared" si="6"/>
        <v/>
      </c>
      <c r="AQ14" s="48" t="str">
        <f t="shared" si="6"/>
        <v/>
      </c>
      <c r="AR14" s="49" t="str">
        <f t="shared" si="11"/>
        <v/>
      </c>
      <c r="AS14" s="49" t="str">
        <f t="shared" si="12"/>
        <v/>
      </c>
      <c r="AT14" s="49" t="str">
        <f t="shared" si="13"/>
        <v/>
      </c>
      <c r="AU14" s="49" t="str">
        <f t="shared" si="14"/>
        <v/>
      </c>
      <c r="AV14" s="49" t="str">
        <f t="shared" si="15"/>
        <v/>
      </c>
      <c r="AW14" s="49" t="str">
        <f t="shared" si="16"/>
        <v/>
      </c>
      <c r="AX14" s="49" t="str">
        <f t="shared" si="17"/>
        <v/>
      </c>
      <c r="AY14" s="49" t="str">
        <f t="shared" si="18"/>
        <v/>
      </c>
      <c r="AZ14" s="49" t="str">
        <f t="shared" si="19"/>
        <v/>
      </c>
      <c r="BA14" s="49" t="str">
        <f t="shared" si="20"/>
        <v/>
      </c>
      <c r="BB14" s="49" t="str">
        <f t="shared" si="21"/>
        <v/>
      </c>
      <c r="BC14" s="49" t="str">
        <f t="shared" si="22"/>
        <v/>
      </c>
    </row>
    <row r="15" spans="1:55" ht="15" customHeight="1" x14ac:dyDescent="0.15">
      <c r="A15" s="20"/>
      <c r="C15" s="442"/>
      <c r="D15" s="443">
        <v>2</v>
      </c>
      <c r="E15" s="70" t="s">
        <v>202</v>
      </c>
      <c r="F15" s="25" t="str">
        <f t="shared" ref="F15:Q15" si="26">IF(F14="","",$D14*F14)</f>
        <v/>
      </c>
      <c r="G15" s="25" t="str">
        <f t="shared" si="26"/>
        <v/>
      </c>
      <c r="H15" s="25" t="str">
        <f t="shared" si="26"/>
        <v/>
      </c>
      <c r="I15" s="25" t="str">
        <f t="shared" si="26"/>
        <v/>
      </c>
      <c r="J15" s="25" t="str">
        <f t="shared" si="26"/>
        <v/>
      </c>
      <c r="K15" s="25" t="str">
        <f t="shared" si="26"/>
        <v/>
      </c>
      <c r="L15" s="25" t="str">
        <f t="shared" si="26"/>
        <v/>
      </c>
      <c r="M15" s="25" t="str">
        <f t="shared" si="26"/>
        <v/>
      </c>
      <c r="N15" s="25" t="str">
        <f t="shared" si="26"/>
        <v/>
      </c>
      <c r="O15" s="25" t="str">
        <f t="shared" si="26"/>
        <v/>
      </c>
      <c r="P15" s="25" t="str">
        <f t="shared" si="26"/>
        <v/>
      </c>
      <c r="Q15" s="25" t="str">
        <f t="shared" si="26"/>
        <v/>
      </c>
      <c r="R15" s="20"/>
      <c r="T15" s="442"/>
      <c r="U15" s="443">
        <v>2</v>
      </c>
      <c r="W15" s="67" t="s">
        <v>255</v>
      </c>
      <c r="Y15" s="459"/>
      <c r="Z15" s="50">
        <f t="shared" si="24"/>
        <v>71</v>
      </c>
      <c r="AA15" s="45">
        <v>93</v>
      </c>
      <c r="AB15" s="50">
        <f t="shared" si="25"/>
        <v>132</v>
      </c>
      <c r="AC15" s="45">
        <v>160</v>
      </c>
      <c r="AD15" s="46">
        <f t="shared" si="8"/>
        <v>1.2727272727272727</v>
      </c>
      <c r="AE15" s="47">
        <f t="shared" si="9"/>
        <v>132</v>
      </c>
      <c r="AF15" s="48" t="str">
        <f t="shared" si="10"/>
        <v/>
      </c>
      <c r="AG15" s="48" t="str">
        <f t="shared" si="6"/>
        <v/>
      </c>
      <c r="AH15" s="48" t="str">
        <f t="shared" si="6"/>
        <v/>
      </c>
      <c r="AI15" s="48" t="str">
        <f t="shared" si="6"/>
        <v/>
      </c>
      <c r="AJ15" s="48" t="str">
        <f t="shared" si="6"/>
        <v/>
      </c>
      <c r="AK15" s="48" t="str">
        <f t="shared" si="6"/>
        <v/>
      </c>
      <c r="AL15" s="48" t="str">
        <f t="shared" si="6"/>
        <v/>
      </c>
      <c r="AM15" s="48" t="str">
        <f t="shared" si="6"/>
        <v/>
      </c>
      <c r="AN15" s="48" t="str">
        <f t="shared" si="6"/>
        <v/>
      </c>
      <c r="AO15" s="48" t="str">
        <f t="shared" si="6"/>
        <v/>
      </c>
      <c r="AP15" s="48" t="str">
        <f t="shared" si="6"/>
        <v/>
      </c>
      <c r="AQ15" s="48" t="str">
        <f t="shared" si="6"/>
        <v/>
      </c>
      <c r="AR15" s="49" t="str">
        <f t="shared" si="11"/>
        <v/>
      </c>
      <c r="AS15" s="49" t="str">
        <f t="shared" si="12"/>
        <v/>
      </c>
      <c r="AT15" s="49" t="str">
        <f t="shared" si="13"/>
        <v/>
      </c>
      <c r="AU15" s="49" t="str">
        <f t="shared" si="14"/>
        <v/>
      </c>
      <c r="AV15" s="49" t="str">
        <f t="shared" si="15"/>
        <v/>
      </c>
      <c r="AW15" s="49" t="str">
        <f t="shared" si="16"/>
        <v/>
      </c>
      <c r="AX15" s="49" t="str">
        <f t="shared" si="17"/>
        <v/>
      </c>
      <c r="AY15" s="49" t="str">
        <f t="shared" si="18"/>
        <v/>
      </c>
      <c r="AZ15" s="49" t="str">
        <f t="shared" si="19"/>
        <v/>
      </c>
      <c r="BA15" s="49" t="str">
        <f t="shared" si="20"/>
        <v/>
      </c>
      <c r="BB15" s="49" t="str">
        <f t="shared" si="21"/>
        <v/>
      </c>
      <c r="BC15" s="49" t="str">
        <f t="shared" si="22"/>
        <v/>
      </c>
    </row>
    <row r="16" spans="1:55" ht="15" customHeight="1" x14ac:dyDescent="0.15">
      <c r="A16" s="20"/>
      <c r="C16" s="441" t="s">
        <v>302</v>
      </c>
      <c r="D16" s="443">
        <v>3</v>
      </c>
      <c r="E16" s="39" t="s">
        <v>33</v>
      </c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0"/>
      <c r="T16" s="441" t="s">
        <v>209</v>
      </c>
      <c r="U16" s="443">
        <v>4</v>
      </c>
      <c r="W16" s="67"/>
      <c r="Y16" s="459"/>
      <c r="Z16" s="50">
        <f t="shared" si="24"/>
        <v>93</v>
      </c>
      <c r="AA16" s="45">
        <v>117</v>
      </c>
      <c r="AB16" s="50">
        <f t="shared" si="25"/>
        <v>160</v>
      </c>
      <c r="AC16" s="45">
        <v>184</v>
      </c>
      <c r="AD16" s="46">
        <f t="shared" si="8"/>
        <v>1</v>
      </c>
      <c r="AE16" s="47">
        <f t="shared" si="9"/>
        <v>160</v>
      </c>
      <c r="AF16" s="48" t="str">
        <f t="shared" si="10"/>
        <v/>
      </c>
      <c r="AG16" s="48" t="str">
        <f t="shared" si="6"/>
        <v/>
      </c>
      <c r="AH16" s="48" t="str">
        <f t="shared" si="6"/>
        <v/>
      </c>
      <c r="AI16" s="48" t="str">
        <f t="shared" si="6"/>
        <v/>
      </c>
      <c r="AJ16" s="48" t="str">
        <f t="shared" si="6"/>
        <v/>
      </c>
      <c r="AK16" s="48" t="str">
        <f t="shared" si="6"/>
        <v/>
      </c>
      <c r="AL16" s="48" t="str">
        <f t="shared" si="6"/>
        <v/>
      </c>
      <c r="AM16" s="48" t="str">
        <f t="shared" si="6"/>
        <v/>
      </c>
      <c r="AN16" s="48" t="str">
        <f t="shared" si="6"/>
        <v/>
      </c>
      <c r="AO16" s="48" t="str">
        <f t="shared" si="6"/>
        <v/>
      </c>
      <c r="AP16" s="48" t="str">
        <f t="shared" si="6"/>
        <v/>
      </c>
      <c r="AQ16" s="48" t="str">
        <f t="shared" si="6"/>
        <v/>
      </c>
      <c r="AR16" s="49" t="str">
        <f t="shared" si="11"/>
        <v/>
      </c>
      <c r="AS16" s="49" t="str">
        <f t="shared" si="12"/>
        <v/>
      </c>
      <c r="AT16" s="49" t="str">
        <f t="shared" si="13"/>
        <v/>
      </c>
      <c r="AU16" s="49" t="str">
        <f t="shared" si="14"/>
        <v/>
      </c>
      <c r="AV16" s="49" t="str">
        <f t="shared" si="15"/>
        <v/>
      </c>
      <c r="AW16" s="49" t="str">
        <f t="shared" si="16"/>
        <v/>
      </c>
      <c r="AX16" s="49" t="str">
        <f t="shared" si="17"/>
        <v/>
      </c>
      <c r="AY16" s="49" t="str">
        <f t="shared" si="18"/>
        <v/>
      </c>
      <c r="AZ16" s="49" t="str">
        <f t="shared" si="19"/>
        <v/>
      </c>
      <c r="BA16" s="49" t="str">
        <f t="shared" si="20"/>
        <v/>
      </c>
      <c r="BB16" s="49" t="str">
        <f t="shared" si="21"/>
        <v/>
      </c>
      <c r="BC16" s="49" t="str">
        <f t="shared" si="22"/>
        <v/>
      </c>
    </row>
    <row r="17" spans="1:55" ht="15" customHeight="1" x14ac:dyDescent="0.15">
      <c r="A17" s="20"/>
      <c r="C17" s="442"/>
      <c r="D17" s="443">
        <v>2</v>
      </c>
      <c r="E17" s="70" t="s">
        <v>202</v>
      </c>
      <c r="F17" s="25" t="str">
        <f t="shared" ref="F17:Q17" si="27">IF(F16="","",$D16*F16)</f>
        <v/>
      </c>
      <c r="G17" s="25" t="str">
        <f t="shared" si="27"/>
        <v/>
      </c>
      <c r="H17" s="25" t="str">
        <f t="shared" si="27"/>
        <v/>
      </c>
      <c r="I17" s="25" t="str">
        <f t="shared" si="27"/>
        <v/>
      </c>
      <c r="J17" s="25" t="str">
        <f t="shared" si="27"/>
        <v/>
      </c>
      <c r="K17" s="25" t="str">
        <f t="shared" si="27"/>
        <v/>
      </c>
      <c r="L17" s="25" t="str">
        <f t="shared" si="27"/>
        <v/>
      </c>
      <c r="M17" s="25" t="str">
        <f t="shared" si="27"/>
        <v/>
      </c>
      <c r="N17" s="25" t="str">
        <f t="shared" si="27"/>
        <v/>
      </c>
      <c r="O17" s="25" t="str">
        <f t="shared" si="27"/>
        <v/>
      </c>
      <c r="P17" s="25" t="str">
        <f t="shared" si="27"/>
        <v/>
      </c>
      <c r="Q17" s="25" t="str">
        <f t="shared" si="27"/>
        <v/>
      </c>
      <c r="R17" s="20"/>
      <c r="T17" s="442"/>
      <c r="U17" s="443">
        <v>2</v>
      </c>
      <c r="W17" s="9" t="s">
        <v>256</v>
      </c>
      <c r="Y17" s="459"/>
      <c r="Z17" s="50">
        <f t="shared" si="24"/>
        <v>117</v>
      </c>
      <c r="AA17" s="45">
        <v>145</v>
      </c>
      <c r="AB17" s="50">
        <f t="shared" si="25"/>
        <v>184</v>
      </c>
      <c r="AC17" s="45">
        <v>210</v>
      </c>
      <c r="AD17" s="46">
        <f t="shared" si="8"/>
        <v>0.9285714285714286</v>
      </c>
      <c r="AE17" s="47">
        <f t="shared" si="9"/>
        <v>184</v>
      </c>
      <c r="AF17" s="48" t="str">
        <f t="shared" si="10"/>
        <v/>
      </c>
      <c r="AG17" s="48" t="str">
        <f t="shared" si="6"/>
        <v/>
      </c>
      <c r="AH17" s="48" t="str">
        <f t="shared" si="6"/>
        <v/>
      </c>
      <c r="AI17" s="48" t="str">
        <f t="shared" si="6"/>
        <v/>
      </c>
      <c r="AJ17" s="48" t="str">
        <f t="shared" si="6"/>
        <v/>
      </c>
      <c r="AK17" s="48" t="str">
        <f t="shared" si="6"/>
        <v/>
      </c>
      <c r="AL17" s="48" t="str">
        <f t="shared" si="6"/>
        <v/>
      </c>
      <c r="AM17" s="48" t="str">
        <f t="shared" si="6"/>
        <v/>
      </c>
      <c r="AN17" s="48" t="str">
        <f t="shared" si="6"/>
        <v/>
      </c>
      <c r="AO17" s="48" t="str">
        <f t="shared" si="6"/>
        <v/>
      </c>
      <c r="AP17" s="48" t="str">
        <f t="shared" si="6"/>
        <v/>
      </c>
      <c r="AQ17" s="48" t="str">
        <f t="shared" si="6"/>
        <v/>
      </c>
      <c r="AR17" s="49" t="str">
        <f t="shared" si="11"/>
        <v/>
      </c>
      <c r="AS17" s="49" t="str">
        <f t="shared" si="12"/>
        <v/>
      </c>
      <c r="AT17" s="49" t="str">
        <f t="shared" si="13"/>
        <v/>
      </c>
      <c r="AU17" s="49" t="str">
        <f t="shared" si="14"/>
        <v/>
      </c>
      <c r="AV17" s="49" t="str">
        <f t="shared" si="15"/>
        <v/>
      </c>
      <c r="AW17" s="49" t="str">
        <f t="shared" si="16"/>
        <v/>
      </c>
      <c r="AX17" s="49" t="str">
        <f t="shared" si="17"/>
        <v/>
      </c>
      <c r="AY17" s="49" t="str">
        <f t="shared" si="18"/>
        <v/>
      </c>
      <c r="AZ17" s="49" t="str">
        <f t="shared" si="19"/>
        <v/>
      </c>
      <c r="BA17" s="49" t="str">
        <f t="shared" si="20"/>
        <v/>
      </c>
      <c r="BB17" s="49" t="str">
        <f t="shared" si="21"/>
        <v/>
      </c>
      <c r="BC17" s="49" t="str">
        <f t="shared" si="22"/>
        <v/>
      </c>
    </row>
    <row r="18" spans="1:55" ht="15" customHeight="1" x14ac:dyDescent="0.15">
      <c r="A18" s="20"/>
      <c r="C18" s="441" t="s">
        <v>227</v>
      </c>
      <c r="D18" s="443">
        <v>4</v>
      </c>
      <c r="E18" s="39" t="s">
        <v>33</v>
      </c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0"/>
      <c r="T18" s="441" t="s">
        <v>211</v>
      </c>
      <c r="U18" s="443">
        <v>4</v>
      </c>
      <c r="W18" s="67" t="s">
        <v>257</v>
      </c>
      <c r="Y18" s="459"/>
      <c r="Z18" s="50">
        <f t="shared" si="24"/>
        <v>145</v>
      </c>
      <c r="AA18" s="45">
        <v>175</v>
      </c>
      <c r="AB18" s="50">
        <f t="shared" si="25"/>
        <v>210</v>
      </c>
      <c r="AC18" s="45">
        <v>232</v>
      </c>
      <c r="AD18" s="46">
        <f t="shared" si="8"/>
        <v>0.73333333333333328</v>
      </c>
      <c r="AE18" s="47">
        <f t="shared" si="9"/>
        <v>210</v>
      </c>
      <c r="AF18" s="48" t="str">
        <f t="shared" si="10"/>
        <v/>
      </c>
      <c r="AG18" s="48" t="str">
        <f t="shared" si="6"/>
        <v/>
      </c>
      <c r="AH18" s="48" t="str">
        <f t="shared" si="6"/>
        <v/>
      </c>
      <c r="AI18" s="48" t="str">
        <f t="shared" si="6"/>
        <v/>
      </c>
      <c r="AJ18" s="48" t="str">
        <f t="shared" si="6"/>
        <v/>
      </c>
      <c r="AK18" s="48" t="str">
        <f t="shared" si="6"/>
        <v/>
      </c>
      <c r="AL18" s="48" t="str">
        <f t="shared" si="6"/>
        <v/>
      </c>
      <c r="AM18" s="48" t="str">
        <f t="shared" si="6"/>
        <v/>
      </c>
      <c r="AN18" s="48" t="str">
        <f t="shared" si="6"/>
        <v/>
      </c>
      <c r="AO18" s="48" t="str">
        <f t="shared" si="6"/>
        <v/>
      </c>
      <c r="AP18" s="48" t="str">
        <f t="shared" si="6"/>
        <v/>
      </c>
      <c r="AQ18" s="48" t="str">
        <f t="shared" si="6"/>
        <v/>
      </c>
      <c r="AR18" s="49" t="str">
        <f t="shared" si="11"/>
        <v/>
      </c>
      <c r="AS18" s="49" t="str">
        <f t="shared" si="12"/>
        <v/>
      </c>
      <c r="AT18" s="49" t="str">
        <f t="shared" si="13"/>
        <v/>
      </c>
      <c r="AU18" s="49" t="str">
        <f t="shared" si="14"/>
        <v/>
      </c>
      <c r="AV18" s="49" t="str">
        <f t="shared" si="15"/>
        <v/>
      </c>
      <c r="AW18" s="49" t="str">
        <f t="shared" si="16"/>
        <v/>
      </c>
      <c r="AX18" s="49" t="str">
        <f t="shared" si="17"/>
        <v/>
      </c>
      <c r="AY18" s="49" t="str">
        <f t="shared" si="18"/>
        <v/>
      </c>
      <c r="AZ18" s="49" t="str">
        <f t="shared" si="19"/>
        <v/>
      </c>
      <c r="BA18" s="49" t="str">
        <f t="shared" si="20"/>
        <v/>
      </c>
      <c r="BB18" s="49" t="str">
        <f t="shared" si="21"/>
        <v/>
      </c>
      <c r="BC18" s="49" t="str">
        <f t="shared" si="22"/>
        <v/>
      </c>
    </row>
    <row r="19" spans="1:55" ht="15" customHeight="1" x14ac:dyDescent="0.15">
      <c r="A19" s="20"/>
      <c r="C19" s="442"/>
      <c r="D19" s="443">
        <v>2</v>
      </c>
      <c r="E19" s="70" t="s">
        <v>202</v>
      </c>
      <c r="F19" s="25" t="str">
        <f t="shared" ref="F19:Q19" si="28">IF(F18="","",$D18*F18)</f>
        <v/>
      </c>
      <c r="G19" s="25" t="str">
        <f t="shared" si="28"/>
        <v/>
      </c>
      <c r="H19" s="25" t="str">
        <f t="shared" si="28"/>
        <v/>
      </c>
      <c r="I19" s="25" t="str">
        <f t="shared" si="28"/>
        <v/>
      </c>
      <c r="J19" s="25" t="str">
        <f t="shared" si="28"/>
        <v/>
      </c>
      <c r="K19" s="25" t="str">
        <f t="shared" si="28"/>
        <v/>
      </c>
      <c r="L19" s="25" t="str">
        <f t="shared" si="28"/>
        <v/>
      </c>
      <c r="M19" s="25" t="str">
        <f t="shared" si="28"/>
        <v/>
      </c>
      <c r="N19" s="25" t="str">
        <f t="shared" si="28"/>
        <v/>
      </c>
      <c r="O19" s="25" t="str">
        <f t="shared" si="28"/>
        <v/>
      </c>
      <c r="P19" s="25" t="str">
        <f t="shared" si="28"/>
        <v/>
      </c>
      <c r="Q19" s="25" t="str">
        <f t="shared" si="28"/>
        <v/>
      </c>
      <c r="R19" s="20"/>
      <c r="T19" s="442"/>
      <c r="U19" s="443">
        <v>2</v>
      </c>
      <c r="W19" s="67" t="s">
        <v>258</v>
      </c>
      <c r="Y19" s="459"/>
      <c r="Z19" s="50">
        <f t="shared" si="24"/>
        <v>175</v>
      </c>
      <c r="AA19" s="45">
        <v>207</v>
      </c>
      <c r="AB19" s="50">
        <f t="shared" si="25"/>
        <v>232</v>
      </c>
      <c r="AC19" s="45">
        <v>253</v>
      </c>
      <c r="AD19" s="46">
        <f t="shared" si="8"/>
        <v>0.65625</v>
      </c>
      <c r="AE19" s="47">
        <f t="shared" si="9"/>
        <v>232</v>
      </c>
      <c r="AF19" s="48" t="str">
        <f t="shared" si="10"/>
        <v/>
      </c>
      <c r="AG19" s="48" t="str">
        <f t="shared" si="6"/>
        <v/>
      </c>
      <c r="AH19" s="48" t="str">
        <f t="shared" si="6"/>
        <v/>
      </c>
      <c r="AI19" s="48" t="str">
        <f t="shared" si="6"/>
        <v/>
      </c>
      <c r="AJ19" s="48" t="str">
        <f t="shared" si="6"/>
        <v/>
      </c>
      <c r="AK19" s="48" t="str">
        <f t="shared" si="6"/>
        <v/>
      </c>
      <c r="AL19" s="48" t="str">
        <f t="shared" si="6"/>
        <v/>
      </c>
      <c r="AM19" s="48" t="str">
        <f t="shared" si="6"/>
        <v/>
      </c>
      <c r="AN19" s="48" t="str">
        <f t="shared" si="6"/>
        <v/>
      </c>
      <c r="AO19" s="48" t="str">
        <f t="shared" si="6"/>
        <v/>
      </c>
      <c r="AP19" s="48" t="str">
        <f t="shared" si="6"/>
        <v/>
      </c>
      <c r="AQ19" s="48" t="str">
        <f t="shared" si="6"/>
        <v/>
      </c>
      <c r="AR19" s="49" t="str">
        <f t="shared" si="11"/>
        <v/>
      </c>
      <c r="AS19" s="49" t="str">
        <f t="shared" si="12"/>
        <v/>
      </c>
      <c r="AT19" s="49" t="str">
        <f t="shared" si="13"/>
        <v/>
      </c>
      <c r="AU19" s="49" t="str">
        <f t="shared" si="14"/>
        <v/>
      </c>
      <c r="AV19" s="49" t="str">
        <f t="shared" si="15"/>
        <v/>
      </c>
      <c r="AW19" s="49" t="str">
        <f t="shared" si="16"/>
        <v/>
      </c>
      <c r="AX19" s="49" t="str">
        <f t="shared" si="17"/>
        <v/>
      </c>
      <c r="AY19" s="49" t="str">
        <f t="shared" si="18"/>
        <v/>
      </c>
      <c r="AZ19" s="49" t="str">
        <f t="shared" si="19"/>
        <v/>
      </c>
      <c r="BA19" s="49" t="str">
        <f t="shared" si="20"/>
        <v/>
      </c>
      <c r="BB19" s="49" t="str">
        <f t="shared" si="21"/>
        <v/>
      </c>
      <c r="BC19" s="49" t="str">
        <f t="shared" si="22"/>
        <v/>
      </c>
    </row>
    <row r="20" spans="1:55" ht="15" customHeight="1" x14ac:dyDescent="0.15">
      <c r="A20" s="20"/>
      <c r="C20" s="441" t="s">
        <v>210</v>
      </c>
      <c r="D20" s="443">
        <v>4</v>
      </c>
      <c r="E20" s="39" t="s">
        <v>33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0"/>
      <c r="T20" s="441" t="s">
        <v>213</v>
      </c>
      <c r="U20" s="443">
        <v>4</v>
      </c>
      <c r="W20" s="67" t="s">
        <v>259</v>
      </c>
      <c r="Y20" s="459"/>
      <c r="Z20" s="50">
        <f t="shared" si="24"/>
        <v>207</v>
      </c>
      <c r="AA20" s="45">
        <v>240</v>
      </c>
      <c r="AB20" s="50">
        <f t="shared" si="25"/>
        <v>253</v>
      </c>
      <c r="AC20" s="45">
        <v>274</v>
      </c>
      <c r="AD20" s="46">
        <f t="shared" si="8"/>
        <v>0.63636363636363635</v>
      </c>
      <c r="AE20" s="47">
        <f t="shared" si="9"/>
        <v>253</v>
      </c>
      <c r="AF20" s="48" t="str">
        <f t="shared" si="10"/>
        <v/>
      </c>
      <c r="AG20" s="48" t="str">
        <f t="shared" si="6"/>
        <v/>
      </c>
      <c r="AH20" s="48" t="str">
        <f t="shared" si="6"/>
        <v/>
      </c>
      <c r="AI20" s="48" t="str">
        <f t="shared" ref="AG20:AQ25" si="29">IF(AI$7&gt;$Z20,IF(AI$7&lt;=$AA20,AI$7,""),"")</f>
        <v/>
      </c>
      <c r="AJ20" s="48" t="str">
        <f t="shared" si="29"/>
        <v/>
      </c>
      <c r="AK20" s="48" t="str">
        <f t="shared" si="29"/>
        <v/>
      </c>
      <c r="AL20" s="48" t="str">
        <f t="shared" si="29"/>
        <v/>
      </c>
      <c r="AM20" s="48" t="str">
        <f t="shared" si="29"/>
        <v/>
      </c>
      <c r="AN20" s="48" t="str">
        <f t="shared" si="29"/>
        <v/>
      </c>
      <c r="AO20" s="48" t="str">
        <f t="shared" si="29"/>
        <v/>
      </c>
      <c r="AP20" s="48" t="str">
        <f t="shared" si="29"/>
        <v/>
      </c>
      <c r="AQ20" s="48" t="str">
        <f t="shared" si="29"/>
        <v/>
      </c>
      <c r="AR20" s="49" t="str">
        <f t="shared" si="11"/>
        <v/>
      </c>
      <c r="AS20" s="49" t="str">
        <f t="shared" si="12"/>
        <v/>
      </c>
      <c r="AT20" s="49" t="str">
        <f t="shared" si="13"/>
        <v/>
      </c>
      <c r="AU20" s="49" t="str">
        <f t="shared" si="14"/>
        <v/>
      </c>
      <c r="AV20" s="49" t="str">
        <f t="shared" si="15"/>
        <v/>
      </c>
      <c r="AW20" s="49" t="str">
        <f t="shared" si="16"/>
        <v/>
      </c>
      <c r="AX20" s="49" t="str">
        <f t="shared" si="17"/>
        <v/>
      </c>
      <c r="AY20" s="49" t="str">
        <f t="shared" si="18"/>
        <v/>
      </c>
      <c r="AZ20" s="49" t="str">
        <f t="shared" si="19"/>
        <v/>
      </c>
      <c r="BA20" s="49" t="str">
        <f t="shared" si="20"/>
        <v/>
      </c>
      <c r="BB20" s="49" t="str">
        <f t="shared" si="21"/>
        <v/>
      </c>
      <c r="BC20" s="49" t="str">
        <f t="shared" si="22"/>
        <v/>
      </c>
    </row>
    <row r="21" spans="1:55" ht="15" customHeight="1" x14ac:dyDescent="0.15">
      <c r="A21" s="20"/>
      <c r="C21" s="442"/>
      <c r="D21" s="443">
        <v>2</v>
      </c>
      <c r="E21" s="70" t="s">
        <v>202</v>
      </c>
      <c r="F21" s="25" t="str">
        <f t="shared" ref="F21:Q21" si="30">IF(F20="","",$D20*F20)</f>
        <v/>
      </c>
      <c r="G21" s="25" t="str">
        <f t="shared" si="30"/>
        <v/>
      </c>
      <c r="H21" s="25" t="str">
        <f t="shared" si="30"/>
        <v/>
      </c>
      <c r="I21" s="25" t="str">
        <f t="shared" si="30"/>
        <v/>
      </c>
      <c r="J21" s="25" t="str">
        <f t="shared" si="30"/>
        <v/>
      </c>
      <c r="K21" s="25" t="str">
        <f t="shared" si="30"/>
        <v/>
      </c>
      <c r="L21" s="25" t="str">
        <f t="shared" si="30"/>
        <v/>
      </c>
      <c r="M21" s="25" t="str">
        <f t="shared" si="30"/>
        <v/>
      </c>
      <c r="N21" s="25" t="str">
        <f t="shared" si="30"/>
        <v/>
      </c>
      <c r="O21" s="25" t="str">
        <f t="shared" si="30"/>
        <v/>
      </c>
      <c r="P21" s="25" t="str">
        <f t="shared" si="30"/>
        <v/>
      </c>
      <c r="Q21" s="25" t="str">
        <f t="shared" si="30"/>
        <v/>
      </c>
      <c r="R21" s="20"/>
      <c r="T21" s="442"/>
      <c r="U21" s="443">
        <v>2</v>
      </c>
      <c r="W21" s="67" t="s">
        <v>263</v>
      </c>
      <c r="Y21" s="459"/>
      <c r="Z21" s="50">
        <f t="shared" si="24"/>
        <v>240</v>
      </c>
      <c r="AA21" s="45">
        <v>455</v>
      </c>
      <c r="AB21" s="50">
        <f t="shared" si="25"/>
        <v>274</v>
      </c>
      <c r="AC21" s="45">
        <v>415</v>
      </c>
      <c r="AD21" s="46">
        <f t="shared" si="8"/>
        <v>0.65581395348837213</v>
      </c>
      <c r="AE21" s="47">
        <f t="shared" si="9"/>
        <v>274</v>
      </c>
      <c r="AF21" s="48" t="str">
        <f t="shared" si="10"/>
        <v/>
      </c>
      <c r="AG21" s="48" t="str">
        <f t="shared" si="29"/>
        <v/>
      </c>
      <c r="AH21" s="48" t="str">
        <f t="shared" si="29"/>
        <v/>
      </c>
      <c r="AI21" s="48" t="str">
        <f t="shared" si="29"/>
        <v/>
      </c>
      <c r="AJ21" s="48" t="str">
        <f t="shared" si="29"/>
        <v/>
      </c>
      <c r="AK21" s="48" t="str">
        <f t="shared" si="29"/>
        <v/>
      </c>
      <c r="AL21" s="48" t="str">
        <f t="shared" si="29"/>
        <v/>
      </c>
      <c r="AM21" s="48" t="str">
        <f t="shared" si="29"/>
        <v/>
      </c>
      <c r="AN21" s="48" t="str">
        <f t="shared" si="29"/>
        <v/>
      </c>
      <c r="AO21" s="48" t="str">
        <f t="shared" si="29"/>
        <v/>
      </c>
      <c r="AP21" s="48" t="str">
        <f t="shared" si="29"/>
        <v/>
      </c>
      <c r="AQ21" s="48" t="str">
        <f t="shared" si="29"/>
        <v/>
      </c>
      <c r="AR21" s="49" t="str">
        <f t="shared" si="11"/>
        <v/>
      </c>
      <c r="AS21" s="49" t="str">
        <f t="shared" si="12"/>
        <v/>
      </c>
      <c r="AT21" s="49" t="str">
        <f t="shared" si="13"/>
        <v/>
      </c>
      <c r="AU21" s="49" t="str">
        <f t="shared" si="14"/>
        <v/>
      </c>
      <c r="AV21" s="49" t="str">
        <f t="shared" si="15"/>
        <v/>
      </c>
      <c r="AW21" s="49" t="str">
        <f t="shared" si="16"/>
        <v/>
      </c>
      <c r="AX21" s="49" t="str">
        <f t="shared" si="17"/>
        <v/>
      </c>
      <c r="AY21" s="49" t="str">
        <f t="shared" si="18"/>
        <v/>
      </c>
      <c r="AZ21" s="49" t="str">
        <f t="shared" si="19"/>
        <v/>
      </c>
      <c r="BA21" s="49" t="str">
        <f t="shared" si="20"/>
        <v/>
      </c>
      <c r="BB21" s="49" t="str">
        <f t="shared" si="21"/>
        <v/>
      </c>
      <c r="BC21" s="49" t="str">
        <f t="shared" si="22"/>
        <v/>
      </c>
    </row>
    <row r="22" spans="1:55" ht="15" customHeight="1" x14ac:dyDescent="0.15">
      <c r="A22" s="20"/>
      <c r="C22" s="441" t="s">
        <v>212</v>
      </c>
      <c r="D22" s="443">
        <v>4</v>
      </c>
      <c r="E22" s="39" t="s">
        <v>33</v>
      </c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0"/>
      <c r="T22" s="441" t="s">
        <v>215</v>
      </c>
      <c r="U22" s="443">
        <v>4</v>
      </c>
      <c r="W22" s="67"/>
      <c r="Y22" s="459"/>
      <c r="Z22" s="50">
        <f t="shared" si="24"/>
        <v>455</v>
      </c>
      <c r="AA22" s="45">
        <v>810</v>
      </c>
      <c r="AB22" s="50">
        <f t="shared" si="25"/>
        <v>415</v>
      </c>
      <c r="AC22" s="45">
        <v>655</v>
      </c>
      <c r="AD22" s="46">
        <f t="shared" si="8"/>
        <v>0.676056338028169</v>
      </c>
      <c r="AE22" s="47">
        <f t="shared" si="9"/>
        <v>415</v>
      </c>
      <c r="AF22" s="48" t="str">
        <f t="shared" si="10"/>
        <v/>
      </c>
      <c r="AG22" s="48" t="str">
        <f t="shared" si="29"/>
        <v/>
      </c>
      <c r="AH22" s="48" t="str">
        <f t="shared" si="29"/>
        <v/>
      </c>
      <c r="AI22" s="48" t="str">
        <f t="shared" si="29"/>
        <v/>
      </c>
      <c r="AJ22" s="48" t="str">
        <f t="shared" si="29"/>
        <v/>
      </c>
      <c r="AK22" s="48" t="str">
        <f t="shared" si="29"/>
        <v/>
      </c>
      <c r="AL22" s="48" t="str">
        <f t="shared" si="29"/>
        <v/>
      </c>
      <c r="AM22" s="48" t="str">
        <f t="shared" si="29"/>
        <v/>
      </c>
      <c r="AN22" s="48" t="str">
        <f t="shared" si="29"/>
        <v/>
      </c>
      <c r="AO22" s="48" t="str">
        <f t="shared" si="29"/>
        <v/>
      </c>
      <c r="AP22" s="48" t="str">
        <f t="shared" si="29"/>
        <v/>
      </c>
      <c r="AQ22" s="48" t="str">
        <f t="shared" si="29"/>
        <v/>
      </c>
      <c r="AR22" s="49" t="str">
        <f t="shared" si="11"/>
        <v/>
      </c>
      <c r="AS22" s="49" t="str">
        <f t="shared" si="12"/>
        <v/>
      </c>
      <c r="AT22" s="49" t="str">
        <f t="shared" si="13"/>
        <v/>
      </c>
      <c r="AU22" s="49" t="str">
        <f t="shared" si="14"/>
        <v/>
      </c>
      <c r="AV22" s="49" t="str">
        <f t="shared" si="15"/>
        <v/>
      </c>
      <c r="AW22" s="49" t="str">
        <f t="shared" si="16"/>
        <v/>
      </c>
      <c r="AX22" s="49" t="str">
        <f t="shared" si="17"/>
        <v/>
      </c>
      <c r="AY22" s="49" t="str">
        <f t="shared" si="18"/>
        <v/>
      </c>
      <c r="AZ22" s="49" t="str">
        <f t="shared" si="19"/>
        <v/>
      </c>
      <c r="BA22" s="49" t="str">
        <f t="shared" si="20"/>
        <v/>
      </c>
      <c r="BB22" s="49" t="str">
        <f t="shared" si="21"/>
        <v/>
      </c>
      <c r="BC22" s="49" t="str">
        <f t="shared" si="22"/>
        <v/>
      </c>
    </row>
    <row r="23" spans="1:55" ht="15" customHeight="1" x14ac:dyDescent="0.15">
      <c r="A23" s="20"/>
      <c r="C23" s="442"/>
      <c r="D23" s="443">
        <v>2</v>
      </c>
      <c r="E23" s="70" t="s">
        <v>202</v>
      </c>
      <c r="F23" s="25" t="str">
        <f t="shared" ref="F23:Q23" si="31">IF(F22="","",$D22*F22)</f>
        <v/>
      </c>
      <c r="G23" s="25" t="str">
        <f t="shared" si="31"/>
        <v/>
      </c>
      <c r="H23" s="25" t="str">
        <f t="shared" si="31"/>
        <v/>
      </c>
      <c r="I23" s="25" t="str">
        <f t="shared" si="31"/>
        <v/>
      </c>
      <c r="J23" s="25" t="str">
        <f t="shared" si="31"/>
        <v/>
      </c>
      <c r="K23" s="25" t="str">
        <f t="shared" si="31"/>
        <v/>
      </c>
      <c r="L23" s="25" t="str">
        <f t="shared" si="31"/>
        <v/>
      </c>
      <c r="M23" s="25" t="str">
        <f t="shared" si="31"/>
        <v/>
      </c>
      <c r="N23" s="25" t="str">
        <f t="shared" si="31"/>
        <v/>
      </c>
      <c r="O23" s="25" t="str">
        <f t="shared" si="31"/>
        <v/>
      </c>
      <c r="P23" s="25" t="str">
        <f t="shared" si="31"/>
        <v/>
      </c>
      <c r="Q23" s="25" t="str">
        <f t="shared" si="31"/>
        <v/>
      </c>
      <c r="R23" s="20"/>
      <c r="T23" s="442"/>
      <c r="U23" s="443">
        <v>2</v>
      </c>
      <c r="W23" s="9" t="s">
        <v>264</v>
      </c>
      <c r="Y23" s="459"/>
      <c r="Z23" s="50">
        <f t="shared" si="24"/>
        <v>810</v>
      </c>
      <c r="AA23" s="45">
        <v>1000</v>
      </c>
      <c r="AB23" s="50">
        <f t="shared" si="25"/>
        <v>655</v>
      </c>
      <c r="AC23" s="45">
        <v>780</v>
      </c>
      <c r="AD23" s="46">
        <f t="shared" si="8"/>
        <v>0.65789473684210531</v>
      </c>
      <c r="AE23" s="47">
        <f t="shared" si="9"/>
        <v>655</v>
      </c>
      <c r="AF23" s="48" t="str">
        <f t="shared" si="10"/>
        <v/>
      </c>
      <c r="AG23" s="48" t="str">
        <f t="shared" si="29"/>
        <v/>
      </c>
      <c r="AH23" s="48" t="str">
        <f t="shared" si="29"/>
        <v/>
      </c>
      <c r="AI23" s="48" t="str">
        <f t="shared" si="29"/>
        <v/>
      </c>
      <c r="AJ23" s="48" t="str">
        <f t="shared" si="29"/>
        <v/>
      </c>
      <c r="AK23" s="48" t="str">
        <f t="shared" si="29"/>
        <v/>
      </c>
      <c r="AL23" s="48" t="str">
        <f t="shared" si="29"/>
        <v/>
      </c>
      <c r="AM23" s="48" t="str">
        <f t="shared" si="29"/>
        <v/>
      </c>
      <c r="AN23" s="48" t="str">
        <f t="shared" si="29"/>
        <v/>
      </c>
      <c r="AO23" s="48" t="str">
        <f t="shared" si="29"/>
        <v/>
      </c>
      <c r="AP23" s="48" t="str">
        <f t="shared" si="29"/>
        <v/>
      </c>
      <c r="AQ23" s="48" t="str">
        <f t="shared" si="29"/>
        <v/>
      </c>
      <c r="AR23" s="49" t="str">
        <f t="shared" si="11"/>
        <v/>
      </c>
      <c r="AS23" s="49" t="str">
        <f t="shared" si="12"/>
        <v/>
      </c>
      <c r="AT23" s="49" t="str">
        <f t="shared" si="13"/>
        <v/>
      </c>
      <c r="AU23" s="49" t="str">
        <f t="shared" si="14"/>
        <v/>
      </c>
      <c r="AV23" s="49" t="str">
        <f t="shared" si="15"/>
        <v/>
      </c>
      <c r="AW23" s="49" t="str">
        <f t="shared" si="16"/>
        <v/>
      </c>
      <c r="AX23" s="49" t="str">
        <f t="shared" si="17"/>
        <v/>
      </c>
      <c r="AY23" s="49" t="str">
        <f t="shared" si="18"/>
        <v/>
      </c>
      <c r="AZ23" s="49" t="str">
        <f t="shared" si="19"/>
        <v/>
      </c>
      <c r="BA23" s="49" t="str">
        <f t="shared" si="20"/>
        <v/>
      </c>
      <c r="BB23" s="49" t="str">
        <f t="shared" si="21"/>
        <v/>
      </c>
      <c r="BC23" s="49" t="str">
        <f t="shared" si="22"/>
        <v/>
      </c>
    </row>
    <row r="24" spans="1:55" ht="15" customHeight="1" x14ac:dyDescent="0.15">
      <c r="A24" s="20"/>
      <c r="C24" s="441" t="s">
        <v>214</v>
      </c>
      <c r="D24" s="443">
        <v>2</v>
      </c>
      <c r="E24" s="39" t="s">
        <v>33</v>
      </c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0"/>
      <c r="T24" s="441" t="s">
        <v>216</v>
      </c>
      <c r="U24" s="443">
        <v>4</v>
      </c>
      <c r="W24" s="67" t="s">
        <v>265</v>
      </c>
      <c r="Y24" s="459"/>
      <c r="Z24" s="50">
        <f t="shared" si="24"/>
        <v>1000</v>
      </c>
      <c r="AA24" s="45">
        <v>1345</v>
      </c>
      <c r="AB24" s="50">
        <f t="shared" si="25"/>
        <v>780</v>
      </c>
      <c r="AC24" s="45">
        <v>970</v>
      </c>
      <c r="AD24" s="46">
        <f t="shared" si="8"/>
        <v>0.55072463768115942</v>
      </c>
      <c r="AE24" s="47">
        <f t="shared" si="9"/>
        <v>780</v>
      </c>
      <c r="AF24" s="48" t="str">
        <f t="shared" si="10"/>
        <v/>
      </c>
      <c r="AG24" s="48" t="str">
        <f t="shared" si="29"/>
        <v/>
      </c>
      <c r="AH24" s="48" t="str">
        <f t="shared" si="29"/>
        <v/>
      </c>
      <c r="AI24" s="48" t="str">
        <f t="shared" si="29"/>
        <v/>
      </c>
      <c r="AJ24" s="48" t="str">
        <f t="shared" si="29"/>
        <v/>
      </c>
      <c r="AK24" s="48" t="str">
        <f t="shared" si="29"/>
        <v/>
      </c>
      <c r="AL24" s="48" t="str">
        <f t="shared" si="29"/>
        <v/>
      </c>
      <c r="AM24" s="48" t="str">
        <f t="shared" si="29"/>
        <v/>
      </c>
      <c r="AN24" s="48" t="str">
        <f t="shared" si="29"/>
        <v/>
      </c>
      <c r="AO24" s="48" t="str">
        <f t="shared" si="29"/>
        <v/>
      </c>
      <c r="AP24" s="48" t="str">
        <f t="shared" si="29"/>
        <v/>
      </c>
      <c r="AQ24" s="48" t="str">
        <f t="shared" si="29"/>
        <v/>
      </c>
      <c r="AR24" s="49" t="str">
        <f t="shared" si="11"/>
        <v/>
      </c>
      <c r="AS24" s="49" t="str">
        <f t="shared" si="12"/>
        <v/>
      </c>
      <c r="AT24" s="49" t="str">
        <f t="shared" si="13"/>
        <v/>
      </c>
      <c r="AU24" s="49" t="str">
        <f t="shared" si="14"/>
        <v/>
      </c>
      <c r="AV24" s="49" t="str">
        <f t="shared" si="15"/>
        <v/>
      </c>
      <c r="AW24" s="49" t="str">
        <f t="shared" si="16"/>
        <v/>
      </c>
      <c r="AX24" s="49" t="str">
        <f t="shared" si="17"/>
        <v/>
      </c>
      <c r="AY24" s="49" t="str">
        <f t="shared" si="18"/>
        <v/>
      </c>
      <c r="AZ24" s="49" t="str">
        <f t="shared" si="19"/>
        <v/>
      </c>
      <c r="BA24" s="49" t="str">
        <f t="shared" si="20"/>
        <v/>
      </c>
      <c r="BB24" s="49" t="str">
        <f t="shared" si="21"/>
        <v/>
      </c>
      <c r="BC24" s="49" t="str">
        <f t="shared" si="22"/>
        <v/>
      </c>
    </row>
    <row r="25" spans="1:55" ht="15" customHeight="1" x14ac:dyDescent="0.15">
      <c r="A25" s="20"/>
      <c r="C25" s="442"/>
      <c r="D25" s="443">
        <v>2</v>
      </c>
      <c r="E25" s="70" t="s">
        <v>202</v>
      </c>
      <c r="F25" s="25" t="str">
        <f t="shared" ref="F25:Q25" si="32">IF(F24="","",$D24*F24)</f>
        <v/>
      </c>
      <c r="G25" s="25" t="str">
        <f t="shared" si="32"/>
        <v/>
      </c>
      <c r="H25" s="25" t="str">
        <f t="shared" si="32"/>
        <v/>
      </c>
      <c r="I25" s="25" t="str">
        <f t="shared" si="32"/>
        <v/>
      </c>
      <c r="J25" s="25" t="str">
        <f t="shared" si="32"/>
        <v/>
      </c>
      <c r="K25" s="25" t="str">
        <f t="shared" si="32"/>
        <v/>
      </c>
      <c r="L25" s="25" t="str">
        <f t="shared" si="32"/>
        <v/>
      </c>
      <c r="M25" s="25" t="str">
        <f t="shared" si="32"/>
        <v/>
      </c>
      <c r="N25" s="25" t="str">
        <f t="shared" si="32"/>
        <v/>
      </c>
      <c r="O25" s="25" t="str">
        <f t="shared" si="32"/>
        <v/>
      </c>
      <c r="P25" s="25" t="str">
        <f t="shared" si="32"/>
        <v/>
      </c>
      <c r="Q25" s="25" t="str">
        <f t="shared" si="32"/>
        <v/>
      </c>
      <c r="R25" s="20"/>
      <c r="T25" s="442"/>
      <c r="U25" s="443">
        <v>2</v>
      </c>
      <c r="W25" s="67" t="s">
        <v>266</v>
      </c>
      <c r="Y25" s="460"/>
      <c r="Z25" s="50">
        <f t="shared" si="24"/>
        <v>1345</v>
      </c>
      <c r="AA25" s="45">
        <v>1710</v>
      </c>
      <c r="AB25" s="50">
        <f t="shared" si="25"/>
        <v>970</v>
      </c>
      <c r="AC25" s="45">
        <v>1140</v>
      </c>
      <c r="AD25" s="46">
        <f t="shared" si="8"/>
        <v>0.46575342465753422</v>
      </c>
      <c r="AE25" s="47">
        <f t="shared" si="9"/>
        <v>970</v>
      </c>
      <c r="AF25" s="48" t="str">
        <f t="shared" si="10"/>
        <v/>
      </c>
      <c r="AG25" s="48" t="str">
        <f t="shared" si="29"/>
        <v/>
      </c>
      <c r="AH25" s="48" t="str">
        <f t="shared" si="29"/>
        <v/>
      </c>
      <c r="AI25" s="48" t="str">
        <f t="shared" si="29"/>
        <v/>
      </c>
      <c r="AJ25" s="48" t="str">
        <f t="shared" si="29"/>
        <v/>
      </c>
      <c r="AK25" s="48" t="str">
        <f t="shared" si="29"/>
        <v/>
      </c>
      <c r="AL25" s="48" t="str">
        <f t="shared" si="29"/>
        <v/>
      </c>
      <c r="AM25" s="48" t="str">
        <f t="shared" si="29"/>
        <v/>
      </c>
      <c r="AN25" s="48" t="str">
        <f t="shared" si="29"/>
        <v/>
      </c>
      <c r="AO25" s="48" t="str">
        <f t="shared" si="29"/>
        <v/>
      </c>
      <c r="AP25" s="48" t="str">
        <f t="shared" si="29"/>
        <v/>
      </c>
      <c r="AQ25" s="48" t="str">
        <f t="shared" si="29"/>
        <v/>
      </c>
      <c r="AR25" s="49" t="str">
        <f t="shared" si="11"/>
        <v/>
      </c>
      <c r="AS25" s="49" t="str">
        <f t="shared" si="12"/>
        <v/>
      </c>
      <c r="AT25" s="49" t="str">
        <f t="shared" si="13"/>
        <v/>
      </c>
      <c r="AU25" s="49" t="str">
        <f t="shared" si="14"/>
        <v/>
      </c>
      <c r="AV25" s="49" t="str">
        <f t="shared" si="15"/>
        <v/>
      </c>
      <c r="AW25" s="49" t="str">
        <f t="shared" si="16"/>
        <v/>
      </c>
      <c r="AX25" s="49" t="str">
        <f t="shared" si="17"/>
        <v/>
      </c>
      <c r="AY25" s="49" t="str">
        <f t="shared" si="18"/>
        <v/>
      </c>
      <c r="AZ25" s="49" t="str">
        <f t="shared" si="19"/>
        <v/>
      </c>
      <c r="BA25" s="49" t="str">
        <f t="shared" si="20"/>
        <v/>
      </c>
      <c r="BB25" s="49" t="str">
        <f t="shared" si="21"/>
        <v/>
      </c>
      <c r="BC25" s="49" t="str">
        <f t="shared" si="22"/>
        <v/>
      </c>
    </row>
    <row r="26" spans="1:55" ht="15" customHeight="1" x14ac:dyDescent="0.15">
      <c r="A26" s="20"/>
      <c r="C26" s="441" t="s">
        <v>208</v>
      </c>
      <c r="D26" s="443">
        <v>4</v>
      </c>
      <c r="E26" s="39" t="s">
        <v>33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0"/>
      <c r="T26" s="441" t="s">
        <v>217</v>
      </c>
      <c r="U26" s="443">
        <v>5</v>
      </c>
      <c r="W26" s="67" t="s">
        <v>267</v>
      </c>
      <c r="Y26" s="51"/>
      <c r="Z26" s="52"/>
      <c r="AA26" s="52"/>
      <c r="AB26" s="52"/>
      <c r="AC26" s="52"/>
      <c r="AD26" s="53"/>
      <c r="AE26" s="54"/>
      <c r="AF26" s="55"/>
      <c r="AG26" s="55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56"/>
      <c r="AS26" s="56"/>
      <c r="AT26" s="56"/>
      <c r="AU26" s="56"/>
      <c r="AV26" s="56"/>
      <c r="AW26" s="56"/>
      <c r="AX26" s="56"/>
    </row>
    <row r="27" spans="1:55" ht="15" customHeight="1" x14ac:dyDescent="0.15">
      <c r="A27" s="20"/>
      <c r="C27" s="442"/>
      <c r="D27" s="443">
        <v>2</v>
      </c>
      <c r="E27" s="70" t="s">
        <v>202</v>
      </c>
      <c r="F27" s="25" t="str">
        <f t="shared" ref="F27:Q27" si="33">IF(F26="","",$D26*F26)</f>
        <v/>
      </c>
      <c r="G27" s="25" t="str">
        <f t="shared" si="33"/>
        <v/>
      </c>
      <c r="H27" s="25" t="str">
        <f t="shared" si="33"/>
        <v/>
      </c>
      <c r="I27" s="25" t="str">
        <f t="shared" si="33"/>
        <v/>
      </c>
      <c r="J27" s="25" t="str">
        <f t="shared" si="33"/>
        <v/>
      </c>
      <c r="K27" s="25" t="str">
        <f t="shared" si="33"/>
        <v/>
      </c>
      <c r="L27" s="25" t="str">
        <f t="shared" si="33"/>
        <v/>
      </c>
      <c r="M27" s="25" t="str">
        <f t="shared" si="33"/>
        <v/>
      </c>
      <c r="N27" s="25" t="str">
        <f t="shared" si="33"/>
        <v/>
      </c>
      <c r="O27" s="25" t="str">
        <f t="shared" si="33"/>
        <v/>
      </c>
      <c r="P27" s="25" t="str">
        <f t="shared" si="33"/>
        <v/>
      </c>
      <c r="Q27" s="25" t="str">
        <f t="shared" si="33"/>
        <v/>
      </c>
      <c r="R27" s="20"/>
      <c r="T27" s="442"/>
      <c r="U27" s="443">
        <v>2</v>
      </c>
      <c r="W27" s="67" t="s">
        <v>268</v>
      </c>
      <c r="Y27" s="62" t="s">
        <v>244</v>
      </c>
      <c r="Z27" s="45">
        <v>10</v>
      </c>
      <c r="AA27" s="45">
        <v>18</v>
      </c>
      <c r="AB27" s="45">
        <v>106</v>
      </c>
      <c r="AC27" s="45">
        <v>130</v>
      </c>
      <c r="AD27" s="46">
        <f t="shared" ref="AD27:AD41" si="34">($AC27-$AB27)/($AA27-$Z27)</f>
        <v>3</v>
      </c>
      <c r="AE27" s="57">
        <f t="shared" si="9"/>
        <v>106</v>
      </c>
      <c r="AF27" s="48" t="str">
        <f t="shared" ref="AF27:AQ41" si="35">IF(AF$8&gt;$Z27,IF(AF$8&lt;=$AA27,AF$8,""),"")</f>
        <v/>
      </c>
      <c r="AG27" s="48" t="str">
        <f t="shared" si="35"/>
        <v/>
      </c>
      <c r="AH27" s="48" t="str">
        <f t="shared" si="35"/>
        <v/>
      </c>
      <c r="AI27" s="48" t="str">
        <f t="shared" si="35"/>
        <v/>
      </c>
      <c r="AJ27" s="48" t="str">
        <f t="shared" si="35"/>
        <v/>
      </c>
      <c r="AK27" s="48" t="str">
        <f t="shared" si="35"/>
        <v/>
      </c>
      <c r="AL27" s="48" t="str">
        <f t="shared" si="35"/>
        <v/>
      </c>
      <c r="AM27" s="48" t="str">
        <f t="shared" si="35"/>
        <v/>
      </c>
      <c r="AN27" s="48" t="str">
        <f t="shared" si="35"/>
        <v/>
      </c>
      <c r="AO27" s="48" t="str">
        <f t="shared" si="35"/>
        <v/>
      </c>
      <c r="AP27" s="48" t="str">
        <f t="shared" si="35"/>
        <v/>
      </c>
      <c r="AQ27" s="48" t="str">
        <f t="shared" si="35"/>
        <v/>
      </c>
      <c r="AR27" s="49" t="str">
        <f t="shared" ref="AR27:AR41" si="36">IF(AF27="","",ROUND(($AD27*(AF27-$Z27)+$AB27),0))</f>
        <v/>
      </c>
      <c r="AS27" s="49" t="str">
        <f t="shared" ref="AS27:AS41" si="37">IF(AG27="","",ROUND(($AD27*(AG27-$Z27)+$AB27),0))</f>
        <v/>
      </c>
      <c r="AT27" s="49" t="str">
        <f t="shared" ref="AT27:AT41" si="38">IF(AH27="","",ROUND(($AD27*(AH27-$Z27)+$AB27),0))</f>
        <v/>
      </c>
      <c r="AU27" s="49" t="str">
        <f t="shared" ref="AU27:AU41" si="39">IF(AI27="","",ROUND(($AD27*(AI27-$Z27)+$AB27),0))</f>
        <v/>
      </c>
      <c r="AV27" s="49" t="str">
        <f t="shared" ref="AV27:AV41" si="40">IF(AJ27="","",ROUND(($AD27*(AJ27-$Z27)+$AB27),0))</f>
        <v/>
      </c>
      <c r="AW27" s="49" t="str">
        <f t="shared" ref="AW27:AW41" si="41">IF(AK27="","",ROUND(($AD27*(AK27-$Z27)+$AB27),0))</f>
        <v/>
      </c>
      <c r="AX27" s="49" t="str">
        <f t="shared" ref="AX27:AX41" si="42">IF(AL27="","",ROUND(($AD27*(AL27-$Z27)+$AB27),0))</f>
        <v/>
      </c>
      <c r="AY27" s="49" t="str">
        <f t="shared" ref="AY27:AY41" si="43">IF(AM27="","",ROUND(($AD27*(AM27-$Z27)+$AB27),0))</f>
        <v/>
      </c>
      <c r="AZ27" s="49" t="str">
        <f t="shared" ref="AZ27:AZ41" si="44">IF(AN27="","",ROUND(($AD27*(AN27-$Z27)+$AB27),0))</f>
        <v/>
      </c>
      <c r="BA27" s="49" t="str">
        <f t="shared" ref="BA27:BA41" si="45">IF(AO27="","",ROUND(($AD27*(AO27-$Z27)+$AB27),0))</f>
        <v/>
      </c>
      <c r="BB27" s="49" t="str">
        <f t="shared" ref="BB27:BB41" si="46">IF(AP27="","",ROUND(($AD27*(AP27-$Z27)+$AB27),0))</f>
        <v/>
      </c>
      <c r="BC27" s="49" t="str">
        <f t="shared" ref="BC27:BC41" si="47">IF(AQ27="","",ROUND(($AD27*(AQ27-$Z27)+$AB27),0))</f>
        <v/>
      </c>
    </row>
    <row r="28" spans="1:55" ht="15" customHeight="1" x14ac:dyDescent="0.15">
      <c r="A28" s="20"/>
      <c r="C28" s="441" t="s">
        <v>209</v>
      </c>
      <c r="D28" s="443">
        <v>4</v>
      </c>
      <c r="E28" s="39" t="s">
        <v>33</v>
      </c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0"/>
      <c r="T28" s="441" t="s">
        <v>218</v>
      </c>
      <c r="U28" s="443">
        <v>5</v>
      </c>
      <c r="W28" s="67" t="s">
        <v>269</v>
      </c>
      <c r="Y28" s="63"/>
      <c r="Z28" s="50">
        <f t="shared" ref="Z28:Z41" si="48">$AA27</f>
        <v>18</v>
      </c>
      <c r="AA28" s="45">
        <v>32</v>
      </c>
      <c r="AB28" s="50">
        <f t="shared" ref="AB28:AB41" si="49">$AC27</f>
        <v>130</v>
      </c>
      <c r="AC28" s="45">
        <v>158</v>
      </c>
      <c r="AD28" s="46">
        <f t="shared" si="34"/>
        <v>2</v>
      </c>
      <c r="AE28" s="57">
        <f t="shared" si="9"/>
        <v>130</v>
      </c>
      <c r="AF28" s="48" t="str">
        <f t="shared" si="35"/>
        <v/>
      </c>
      <c r="AG28" s="48" t="str">
        <f t="shared" si="35"/>
        <v/>
      </c>
      <c r="AH28" s="48" t="str">
        <f t="shared" si="35"/>
        <v/>
      </c>
      <c r="AI28" s="48" t="str">
        <f t="shared" si="35"/>
        <v/>
      </c>
      <c r="AJ28" s="48" t="str">
        <f t="shared" si="35"/>
        <v/>
      </c>
      <c r="AK28" s="48" t="str">
        <f t="shared" si="35"/>
        <v/>
      </c>
      <c r="AL28" s="48" t="str">
        <f t="shared" si="35"/>
        <v/>
      </c>
      <c r="AM28" s="48" t="str">
        <f t="shared" si="35"/>
        <v/>
      </c>
      <c r="AN28" s="48" t="str">
        <f t="shared" si="35"/>
        <v/>
      </c>
      <c r="AO28" s="48" t="str">
        <f t="shared" si="35"/>
        <v/>
      </c>
      <c r="AP28" s="48" t="str">
        <f t="shared" si="35"/>
        <v/>
      </c>
      <c r="AQ28" s="48" t="str">
        <f t="shared" si="35"/>
        <v/>
      </c>
      <c r="AR28" s="49" t="str">
        <f t="shared" si="36"/>
        <v/>
      </c>
      <c r="AS28" s="49" t="str">
        <f t="shared" si="37"/>
        <v/>
      </c>
      <c r="AT28" s="49" t="str">
        <f t="shared" si="38"/>
        <v/>
      </c>
      <c r="AU28" s="49" t="str">
        <f t="shared" si="39"/>
        <v/>
      </c>
      <c r="AV28" s="49" t="str">
        <f t="shared" si="40"/>
        <v/>
      </c>
      <c r="AW28" s="49" t="str">
        <f t="shared" si="41"/>
        <v/>
      </c>
      <c r="AX28" s="49" t="str">
        <f t="shared" si="42"/>
        <v/>
      </c>
      <c r="AY28" s="49" t="str">
        <f t="shared" si="43"/>
        <v/>
      </c>
      <c r="AZ28" s="49" t="str">
        <f t="shared" si="44"/>
        <v/>
      </c>
      <c r="BA28" s="49" t="str">
        <f t="shared" si="45"/>
        <v/>
      </c>
      <c r="BB28" s="49" t="str">
        <f t="shared" si="46"/>
        <v/>
      </c>
      <c r="BC28" s="49" t="str">
        <f t="shared" si="47"/>
        <v/>
      </c>
    </row>
    <row r="29" spans="1:55" ht="15" customHeight="1" x14ac:dyDescent="0.15">
      <c r="A29" s="20"/>
      <c r="C29" s="442"/>
      <c r="D29" s="443">
        <v>2</v>
      </c>
      <c r="E29" s="70" t="s">
        <v>202</v>
      </c>
      <c r="F29" s="25" t="str">
        <f t="shared" ref="F29:Q29" si="50">IF(F28="","",$D28*F28)</f>
        <v/>
      </c>
      <c r="G29" s="25" t="str">
        <f t="shared" si="50"/>
        <v/>
      </c>
      <c r="H29" s="25" t="str">
        <f t="shared" si="50"/>
        <v/>
      </c>
      <c r="I29" s="25" t="str">
        <f t="shared" si="50"/>
        <v/>
      </c>
      <c r="J29" s="25" t="str">
        <f t="shared" si="50"/>
        <v/>
      </c>
      <c r="K29" s="25" t="str">
        <f t="shared" si="50"/>
        <v/>
      </c>
      <c r="L29" s="25" t="str">
        <f t="shared" si="50"/>
        <v/>
      </c>
      <c r="M29" s="25" t="str">
        <f t="shared" si="50"/>
        <v/>
      </c>
      <c r="N29" s="25" t="str">
        <f t="shared" si="50"/>
        <v/>
      </c>
      <c r="O29" s="25" t="str">
        <f t="shared" si="50"/>
        <v/>
      </c>
      <c r="P29" s="25" t="str">
        <f t="shared" si="50"/>
        <v/>
      </c>
      <c r="Q29" s="25" t="str">
        <f t="shared" si="50"/>
        <v/>
      </c>
      <c r="R29" s="20"/>
      <c r="T29" s="442"/>
      <c r="U29" s="443">
        <v>2</v>
      </c>
      <c r="W29" s="67" t="s">
        <v>270</v>
      </c>
      <c r="Y29" s="63"/>
      <c r="Z29" s="50">
        <f t="shared" si="48"/>
        <v>32</v>
      </c>
      <c r="AA29" s="45">
        <v>47</v>
      </c>
      <c r="AB29" s="50">
        <f t="shared" si="49"/>
        <v>158</v>
      </c>
      <c r="AC29" s="45">
        <v>185</v>
      </c>
      <c r="AD29" s="46">
        <f t="shared" si="34"/>
        <v>1.8</v>
      </c>
      <c r="AE29" s="57">
        <f t="shared" si="9"/>
        <v>158</v>
      </c>
      <c r="AF29" s="48" t="str">
        <f t="shared" si="35"/>
        <v/>
      </c>
      <c r="AG29" s="48" t="str">
        <f t="shared" si="35"/>
        <v/>
      </c>
      <c r="AH29" s="48" t="str">
        <f t="shared" si="35"/>
        <v/>
      </c>
      <c r="AI29" s="48" t="str">
        <f t="shared" si="35"/>
        <v/>
      </c>
      <c r="AJ29" s="48" t="str">
        <f t="shared" si="35"/>
        <v/>
      </c>
      <c r="AK29" s="48" t="str">
        <f t="shared" si="35"/>
        <v/>
      </c>
      <c r="AL29" s="48" t="str">
        <f t="shared" si="35"/>
        <v/>
      </c>
      <c r="AM29" s="48" t="str">
        <f t="shared" si="35"/>
        <v/>
      </c>
      <c r="AN29" s="48" t="str">
        <f t="shared" si="35"/>
        <v/>
      </c>
      <c r="AO29" s="48" t="str">
        <f t="shared" si="35"/>
        <v/>
      </c>
      <c r="AP29" s="48" t="str">
        <f t="shared" si="35"/>
        <v/>
      </c>
      <c r="AQ29" s="48" t="str">
        <f t="shared" si="35"/>
        <v/>
      </c>
      <c r="AR29" s="49" t="str">
        <f t="shared" si="36"/>
        <v/>
      </c>
      <c r="AS29" s="49" t="str">
        <f t="shared" si="37"/>
        <v/>
      </c>
      <c r="AT29" s="49" t="str">
        <f t="shared" si="38"/>
        <v/>
      </c>
      <c r="AU29" s="49" t="str">
        <f t="shared" si="39"/>
        <v/>
      </c>
      <c r="AV29" s="49" t="str">
        <f t="shared" si="40"/>
        <v/>
      </c>
      <c r="AW29" s="49" t="str">
        <f t="shared" si="41"/>
        <v/>
      </c>
      <c r="AX29" s="49" t="str">
        <f t="shared" si="42"/>
        <v/>
      </c>
      <c r="AY29" s="49" t="str">
        <f t="shared" si="43"/>
        <v/>
      </c>
      <c r="AZ29" s="49" t="str">
        <f t="shared" si="44"/>
        <v/>
      </c>
      <c r="BA29" s="49" t="str">
        <f t="shared" si="45"/>
        <v/>
      </c>
      <c r="BB29" s="49" t="str">
        <f t="shared" si="46"/>
        <v/>
      </c>
      <c r="BC29" s="49" t="str">
        <f t="shared" si="47"/>
        <v/>
      </c>
    </row>
    <row r="30" spans="1:55" ht="15" customHeight="1" x14ac:dyDescent="0.15">
      <c r="A30" s="20"/>
      <c r="C30" s="441" t="s">
        <v>219</v>
      </c>
      <c r="D30" s="443">
        <v>4</v>
      </c>
      <c r="E30" s="39" t="s">
        <v>33</v>
      </c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0"/>
      <c r="T30" s="441" t="s">
        <v>219</v>
      </c>
      <c r="U30" s="443">
        <v>4</v>
      </c>
      <c r="W30" s="67" t="s">
        <v>271</v>
      </c>
      <c r="Y30" s="63"/>
      <c r="Z30" s="50">
        <f t="shared" si="48"/>
        <v>47</v>
      </c>
      <c r="AA30" s="45">
        <v>71</v>
      </c>
      <c r="AB30" s="50">
        <f t="shared" si="49"/>
        <v>185</v>
      </c>
      <c r="AC30" s="45">
        <v>222</v>
      </c>
      <c r="AD30" s="46">
        <f t="shared" si="34"/>
        <v>1.5416666666666667</v>
      </c>
      <c r="AE30" s="57">
        <f t="shared" si="9"/>
        <v>185</v>
      </c>
      <c r="AF30" s="48" t="str">
        <f t="shared" si="35"/>
        <v/>
      </c>
      <c r="AG30" s="48" t="str">
        <f t="shared" si="35"/>
        <v/>
      </c>
      <c r="AH30" s="48" t="str">
        <f t="shared" si="35"/>
        <v/>
      </c>
      <c r="AI30" s="48" t="str">
        <f t="shared" si="35"/>
        <v/>
      </c>
      <c r="AJ30" s="48" t="str">
        <f t="shared" si="35"/>
        <v/>
      </c>
      <c r="AK30" s="48" t="str">
        <f t="shared" si="35"/>
        <v/>
      </c>
      <c r="AL30" s="48" t="str">
        <f t="shared" si="35"/>
        <v/>
      </c>
      <c r="AM30" s="48" t="str">
        <f t="shared" si="35"/>
        <v/>
      </c>
      <c r="AN30" s="48" t="str">
        <f t="shared" si="35"/>
        <v/>
      </c>
      <c r="AO30" s="48" t="str">
        <f t="shared" si="35"/>
        <v/>
      </c>
      <c r="AP30" s="48" t="str">
        <f t="shared" si="35"/>
        <v/>
      </c>
      <c r="AQ30" s="48" t="str">
        <f t="shared" si="35"/>
        <v/>
      </c>
      <c r="AR30" s="49" t="str">
        <f t="shared" si="36"/>
        <v/>
      </c>
      <c r="AS30" s="49" t="str">
        <f t="shared" si="37"/>
        <v/>
      </c>
      <c r="AT30" s="49" t="str">
        <f t="shared" si="38"/>
        <v/>
      </c>
      <c r="AU30" s="49" t="str">
        <f t="shared" si="39"/>
        <v/>
      </c>
      <c r="AV30" s="49" t="str">
        <f t="shared" si="40"/>
        <v/>
      </c>
      <c r="AW30" s="49" t="str">
        <f t="shared" si="41"/>
        <v/>
      </c>
      <c r="AX30" s="49" t="str">
        <f t="shared" si="42"/>
        <v/>
      </c>
      <c r="AY30" s="49" t="str">
        <f t="shared" si="43"/>
        <v/>
      </c>
      <c r="AZ30" s="49" t="str">
        <f t="shared" si="44"/>
        <v/>
      </c>
      <c r="BA30" s="49" t="str">
        <f t="shared" si="45"/>
        <v/>
      </c>
      <c r="BB30" s="49" t="str">
        <f t="shared" si="46"/>
        <v/>
      </c>
      <c r="BC30" s="49" t="str">
        <f t="shared" si="47"/>
        <v/>
      </c>
    </row>
    <row r="31" spans="1:55" ht="15" customHeight="1" x14ac:dyDescent="0.15">
      <c r="A31" s="20"/>
      <c r="C31" s="442"/>
      <c r="D31" s="443">
        <v>2</v>
      </c>
      <c r="E31" s="70" t="s">
        <v>202</v>
      </c>
      <c r="F31" s="25" t="str">
        <f t="shared" ref="F31:Q31" si="51">IF(F30="","",$D30*F30)</f>
        <v/>
      </c>
      <c r="G31" s="25" t="str">
        <f t="shared" si="51"/>
        <v/>
      </c>
      <c r="H31" s="25" t="str">
        <f t="shared" si="51"/>
        <v/>
      </c>
      <c r="I31" s="25" t="str">
        <f t="shared" si="51"/>
        <v/>
      </c>
      <c r="J31" s="25" t="str">
        <f t="shared" si="51"/>
        <v/>
      </c>
      <c r="K31" s="25" t="str">
        <f t="shared" si="51"/>
        <v/>
      </c>
      <c r="L31" s="25" t="str">
        <f t="shared" si="51"/>
        <v/>
      </c>
      <c r="M31" s="25" t="str">
        <f t="shared" si="51"/>
        <v/>
      </c>
      <c r="N31" s="25" t="str">
        <f t="shared" si="51"/>
        <v/>
      </c>
      <c r="O31" s="25" t="str">
        <f t="shared" si="51"/>
        <v/>
      </c>
      <c r="P31" s="25" t="str">
        <f t="shared" si="51"/>
        <v/>
      </c>
      <c r="Q31" s="25" t="str">
        <f t="shared" si="51"/>
        <v/>
      </c>
      <c r="R31" s="20"/>
      <c r="T31" s="442"/>
      <c r="U31" s="443">
        <v>2</v>
      </c>
      <c r="W31" s="67" t="s">
        <v>272</v>
      </c>
      <c r="Y31" s="63"/>
      <c r="Z31" s="50">
        <f t="shared" si="48"/>
        <v>71</v>
      </c>
      <c r="AA31" s="45">
        <v>93</v>
      </c>
      <c r="AB31" s="50">
        <f t="shared" si="49"/>
        <v>222</v>
      </c>
      <c r="AC31" s="45">
        <v>248</v>
      </c>
      <c r="AD31" s="46">
        <f t="shared" si="34"/>
        <v>1.1818181818181819</v>
      </c>
      <c r="AE31" s="57">
        <f t="shared" si="9"/>
        <v>222</v>
      </c>
      <c r="AF31" s="48" t="str">
        <f t="shared" si="35"/>
        <v/>
      </c>
      <c r="AG31" s="48" t="str">
        <f t="shared" si="35"/>
        <v/>
      </c>
      <c r="AH31" s="48" t="str">
        <f t="shared" si="35"/>
        <v/>
      </c>
      <c r="AI31" s="48" t="str">
        <f t="shared" si="35"/>
        <v/>
      </c>
      <c r="AJ31" s="48" t="str">
        <f t="shared" si="35"/>
        <v/>
      </c>
      <c r="AK31" s="48" t="str">
        <f t="shared" si="35"/>
        <v/>
      </c>
      <c r="AL31" s="48" t="str">
        <f t="shared" si="35"/>
        <v/>
      </c>
      <c r="AM31" s="48" t="str">
        <f t="shared" si="35"/>
        <v/>
      </c>
      <c r="AN31" s="48" t="str">
        <f t="shared" si="35"/>
        <v/>
      </c>
      <c r="AO31" s="48" t="str">
        <f t="shared" si="35"/>
        <v/>
      </c>
      <c r="AP31" s="48" t="str">
        <f t="shared" si="35"/>
        <v/>
      </c>
      <c r="AQ31" s="48" t="str">
        <f t="shared" si="35"/>
        <v/>
      </c>
      <c r="AR31" s="49" t="str">
        <f t="shared" si="36"/>
        <v/>
      </c>
      <c r="AS31" s="49" t="str">
        <f t="shared" si="37"/>
        <v/>
      </c>
      <c r="AT31" s="49" t="str">
        <f t="shared" si="38"/>
        <v/>
      </c>
      <c r="AU31" s="49" t="str">
        <f t="shared" si="39"/>
        <v/>
      </c>
      <c r="AV31" s="49" t="str">
        <f t="shared" si="40"/>
        <v/>
      </c>
      <c r="AW31" s="49" t="str">
        <f t="shared" si="41"/>
        <v/>
      </c>
      <c r="AX31" s="49" t="str">
        <f t="shared" si="42"/>
        <v/>
      </c>
      <c r="AY31" s="49" t="str">
        <f t="shared" si="43"/>
        <v/>
      </c>
      <c r="AZ31" s="49" t="str">
        <f t="shared" si="44"/>
        <v/>
      </c>
      <c r="BA31" s="49" t="str">
        <f t="shared" si="45"/>
        <v/>
      </c>
      <c r="BB31" s="49" t="str">
        <f t="shared" si="46"/>
        <v/>
      </c>
      <c r="BC31" s="49" t="str">
        <f t="shared" si="47"/>
        <v/>
      </c>
    </row>
    <row r="32" spans="1:55" ht="15" customHeight="1" x14ac:dyDescent="0.15">
      <c r="A32" s="20"/>
      <c r="C32" s="441" t="s">
        <v>218</v>
      </c>
      <c r="D32" s="443">
        <v>5</v>
      </c>
      <c r="E32" s="39" t="s">
        <v>33</v>
      </c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0"/>
      <c r="T32" s="441" t="s">
        <v>220</v>
      </c>
      <c r="U32" s="443">
        <v>1</v>
      </c>
      <c r="W32" s="67" t="s">
        <v>273</v>
      </c>
      <c r="Y32" s="63"/>
      <c r="Z32" s="50">
        <f t="shared" si="48"/>
        <v>93</v>
      </c>
      <c r="AA32" s="45">
        <v>117</v>
      </c>
      <c r="AB32" s="50">
        <f t="shared" si="49"/>
        <v>248</v>
      </c>
      <c r="AC32" s="45">
        <v>274</v>
      </c>
      <c r="AD32" s="46">
        <f t="shared" si="34"/>
        <v>1.0833333333333333</v>
      </c>
      <c r="AE32" s="57">
        <f t="shared" si="9"/>
        <v>248</v>
      </c>
      <c r="AF32" s="48" t="str">
        <f t="shared" si="35"/>
        <v/>
      </c>
      <c r="AG32" s="48" t="str">
        <f t="shared" si="35"/>
        <v/>
      </c>
      <c r="AH32" s="48" t="str">
        <f t="shared" si="35"/>
        <v/>
      </c>
      <c r="AI32" s="48" t="str">
        <f t="shared" si="35"/>
        <v/>
      </c>
      <c r="AJ32" s="48" t="str">
        <f t="shared" si="35"/>
        <v/>
      </c>
      <c r="AK32" s="48" t="str">
        <f t="shared" si="35"/>
        <v/>
      </c>
      <c r="AL32" s="48" t="str">
        <f t="shared" si="35"/>
        <v/>
      </c>
      <c r="AM32" s="48" t="str">
        <f t="shared" si="35"/>
        <v/>
      </c>
      <c r="AN32" s="48" t="str">
        <f t="shared" si="35"/>
        <v/>
      </c>
      <c r="AO32" s="48" t="str">
        <f t="shared" si="35"/>
        <v/>
      </c>
      <c r="AP32" s="48" t="str">
        <f t="shared" si="35"/>
        <v/>
      </c>
      <c r="AQ32" s="48" t="str">
        <f t="shared" si="35"/>
        <v/>
      </c>
      <c r="AR32" s="49" t="str">
        <f t="shared" si="36"/>
        <v/>
      </c>
      <c r="AS32" s="49" t="str">
        <f t="shared" si="37"/>
        <v/>
      </c>
      <c r="AT32" s="49" t="str">
        <f t="shared" si="38"/>
        <v/>
      </c>
      <c r="AU32" s="49" t="str">
        <f t="shared" si="39"/>
        <v/>
      </c>
      <c r="AV32" s="49" t="str">
        <f t="shared" si="40"/>
        <v/>
      </c>
      <c r="AW32" s="49" t="str">
        <f t="shared" si="41"/>
        <v/>
      </c>
      <c r="AX32" s="49" t="str">
        <f t="shared" si="42"/>
        <v/>
      </c>
      <c r="AY32" s="49" t="str">
        <f t="shared" si="43"/>
        <v/>
      </c>
      <c r="AZ32" s="49" t="str">
        <f t="shared" si="44"/>
        <v/>
      </c>
      <c r="BA32" s="49" t="str">
        <f t="shared" si="45"/>
        <v/>
      </c>
      <c r="BB32" s="49" t="str">
        <f t="shared" si="46"/>
        <v/>
      </c>
      <c r="BC32" s="49" t="str">
        <f t="shared" si="47"/>
        <v/>
      </c>
    </row>
    <row r="33" spans="1:55" ht="15" customHeight="1" x14ac:dyDescent="0.15">
      <c r="A33" s="20"/>
      <c r="C33" s="442"/>
      <c r="D33" s="443">
        <v>2</v>
      </c>
      <c r="E33" s="70" t="s">
        <v>202</v>
      </c>
      <c r="F33" s="25" t="str">
        <f t="shared" ref="F33:Q33" si="52">IF(F32="","",$D32*F32)</f>
        <v/>
      </c>
      <c r="G33" s="25" t="str">
        <f t="shared" si="52"/>
        <v/>
      </c>
      <c r="H33" s="25" t="str">
        <f t="shared" si="52"/>
        <v/>
      </c>
      <c r="I33" s="25" t="str">
        <f t="shared" si="52"/>
        <v/>
      </c>
      <c r="J33" s="25" t="str">
        <f t="shared" si="52"/>
        <v/>
      </c>
      <c r="K33" s="25" t="str">
        <f t="shared" si="52"/>
        <v/>
      </c>
      <c r="L33" s="25" t="str">
        <f t="shared" si="52"/>
        <v/>
      </c>
      <c r="M33" s="25" t="str">
        <f t="shared" si="52"/>
        <v/>
      </c>
      <c r="N33" s="25" t="str">
        <f t="shared" si="52"/>
        <v/>
      </c>
      <c r="O33" s="25" t="str">
        <f t="shared" si="52"/>
        <v/>
      </c>
      <c r="P33" s="25" t="str">
        <f t="shared" si="52"/>
        <v/>
      </c>
      <c r="Q33" s="25" t="str">
        <f t="shared" si="52"/>
        <v/>
      </c>
      <c r="R33" s="20"/>
      <c r="T33" s="442"/>
      <c r="U33" s="443">
        <v>2</v>
      </c>
      <c r="W33" s="67" t="s">
        <v>274</v>
      </c>
      <c r="Y33" s="63"/>
      <c r="Z33" s="50">
        <f t="shared" si="48"/>
        <v>117</v>
      </c>
      <c r="AA33" s="45">
        <v>145</v>
      </c>
      <c r="AB33" s="50">
        <f t="shared" si="49"/>
        <v>274</v>
      </c>
      <c r="AC33" s="45">
        <v>300</v>
      </c>
      <c r="AD33" s="46">
        <f t="shared" si="34"/>
        <v>0.9285714285714286</v>
      </c>
      <c r="AE33" s="57">
        <f t="shared" si="9"/>
        <v>274</v>
      </c>
      <c r="AF33" s="48" t="str">
        <f t="shared" si="35"/>
        <v/>
      </c>
      <c r="AG33" s="48" t="str">
        <f t="shared" si="35"/>
        <v/>
      </c>
      <c r="AH33" s="48" t="str">
        <f t="shared" si="35"/>
        <v/>
      </c>
      <c r="AI33" s="48" t="str">
        <f t="shared" si="35"/>
        <v/>
      </c>
      <c r="AJ33" s="48" t="str">
        <f t="shared" si="35"/>
        <v/>
      </c>
      <c r="AK33" s="48" t="str">
        <f t="shared" si="35"/>
        <v/>
      </c>
      <c r="AL33" s="48" t="str">
        <f t="shared" si="35"/>
        <v/>
      </c>
      <c r="AM33" s="48" t="str">
        <f t="shared" si="35"/>
        <v/>
      </c>
      <c r="AN33" s="48" t="str">
        <f t="shared" si="35"/>
        <v/>
      </c>
      <c r="AO33" s="48" t="str">
        <f t="shared" si="35"/>
        <v/>
      </c>
      <c r="AP33" s="48" t="str">
        <f t="shared" si="35"/>
        <v/>
      </c>
      <c r="AQ33" s="48" t="str">
        <f t="shared" si="35"/>
        <v/>
      </c>
      <c r="AR33" s="49" t="str">
        <f t="shared" si="36"/>
        <v/>
      </c>
      <c r="AS33" s="49" t="str">
        <f t="shared" si="37"/>
        <v/>
      </c>
      <c r="AT33" s="49" t="str">
        <f t="shared" si="38"/>
        <v/>
      </c>
      <c r="AU33" s="49" t="str">
        <f t="shared" si="39"/>
        <v/>
      </c>
      <c r="AV33" s="49" t="str">
        <f t="shared" si="40"/>
        <v/>
      </c>
      <c r="AW33" s="49" t="str">
        <f t="shared" si="41"/>
        <v/>
      </c>
      <c r="AX33" s="49" t="str">
        <f t="shared" si="42"/>
        <v/>
      </c>
      <c r="AY33" s="49" t="str">
        <f t="shared" si="43"/>
        <v/>
      </c>
      <c r="AZ33" s="49" t="str">
        <f t="shared" si="44"/>
        <v/>
      </c>
      <c r="BA33" s="49" t="str">
        <f t="shared" si="45"/>
        <v/>
      </c>
      <c r="BB33" s="49" t="str">
        <f t="shared" si="46"/>
        <v/>
      </c>
      <c r="BC33" s="49" t="str">
        <f t="shared" si="47"/>
        <v/>
      </c>
    </row>
    <row r="34" spans="1:55" ht="15" customHeight="1" x14ac:dyDescent="0.15">
      <c r="A34" s="20"/>
      <c r="C34" s="441"/>
      <c r="D34" s="443"/>
      <c r="E34" s="39" t="s">
        <v>33</v>
      </c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0"/>
      <c r="T34" s="441" t="s">
        <v>222</v>
      </c>
      <c r="U34" s="443">
        <v>2</v>
      </c>
      <c r="W34" s="67" t="s">
        <v>275</v>
      </c>
      <c r="Y34" s="63"/>
      <c r="Z34" s="50">
        <f t="shared" si="48"/>
        <v>145</v>
      </c>
      <c r="AA34" s="45">
        <v>175</v>
      </c>
      <c r="AB34" s="50">
        <f t="shared" si="49"/>
        <v>300</v>
      </c>
      <c r="AC34" s="45">
        <v>325</v>
      </c>
      <c r="AD34" s="46">
        <f t="shared" si="34"/>
        <v>0.83333333333333337</v>
      </c>
      <c r="AE34" s="57">
        <f t="shared" ref="AE34:AE41" si="53">AB34</f>
        <v>300</v>
      </c>
      <c r="AF34" s="48" t="str">
        <f t="shared" si="35"/>
        <v/>
      </c>
      <c r="AG34" s="48" t="str">
        <f t="shared" si="35"/>
        <v/>
      </c>
      <c r="AH34" s="48" t="str">
        <f t="shared" si="35"/>
        <v/>
      </c>
      <c r="AI34" s="48" t="str">
        <f t="shared" si="35"/>
        <v/>
      </c>
      <c r="AJ34" s="48" t="str">
        <f t="shared" si="35"/>
        <v/>
      </c>
      <c r="AK34" s="48" t="str">
        <f t="shared" si="35"/>
        <v/>
      </c>
      <c r="AL34" s="48" t="str">
        <f t="shared" si="35"/>
        <v/>
      </c>
      <c r="AM34" s="48" t="str">
        <f t="shared" si="35"/>
        <v/>
      </c>
      <c r="AN34" s="48" t="str">
        <f t="shared" si="35"/>
        <v/>
      </c>
      <c r="AO34" s="48" t="str">
        <f t="shared" si="35"/>
        <v/>
      </c>
      <c r="AP34" s="48" t="str">
        <f t="shared" si="35"/>
        <v/>
      </c>
      <c r="AQ34" s="48" t="str">
        <f t="shared" si="35"/>
        <v/>
      </c>
      <c r="AR34" s="49" t="str">
        <f t="shared" si="36"/>
        <v/>
      </c>
      <c r="AS34" s="49" t="str">
        <f t="shared" si="37"/>
        <v/>
      </c>
      <c r="AT34" s="49" t="str">
        <f t="shared" si="38"/>
        <v/>
      </c>
      <c r="AU34" s="49" t="str">
        <f t="shared" si="39"/>
        <v/>
      </c>
      <c r="AV34" s="49" t="str">
        <f t="shared" si="40"/>
        <v/>
      </c>
      <c r="AW34" s="49" t="str">
        <f t="shared" si="41"/>
        <v/>
      </c>
      <c r="AX34" s="49" t="str">
        <f t="shared" si="42"/>
        <v/>
      </c>
      <c r="AY34" s="49" t="str">
        <f t="shared" si="43"/>
        <v/>
      </c>
      <c r="AZ34" s="49" t="str">
        <f t="shared" si="44"/>
        <v/>
      </c>
      <c r="BA34" s="49" t="str">
        <f t="shared" si="45"/>
        <v/>
      </c>
      <c r="BB34" s="49" t="str">
        <f t="shared" si="46"/>
        <v/>
      </c>
      <c r="BC34" s="49" t="str">
        <f t="shared" si="47"/>
        <v/>
      </c>
    </row>
    <row r="35" spans="1:55" ht="15" customHeight="1" x14ac:dyDescent="0.15">
      <c r="A35" s="20"/>
      <c r="C35" s="442"/>
      <c r="D35" s="443"/>
      <c r="E35" s="70" t="s">
        <v>202</v>
      </c>
      <c r="F35" s="25" t="str">
        <f t="shared" ref="F35:Q35" si="54">IF(F34="","",$D34*F34)</f>
        <v/>
      </c>
      <c r="G35" s="25" t="str">
        <f t="shared" si="54"/>
        <v/>
      </c>
      <c r="H35" s="25" t="str">
        <f t="shared" si="54"/>
        <v/>
      </c>
      <c r="I35" s="25" t="str">
        <f t="shared" si="54"/>
        <v/>
      </c>
      <c r="J35" s="25" t="str">
        <f t="shared" si="54"/>
        <v/>
      </c>
      <c r="K35" s="25" t="str">
        <f t="shared" si="54"/>
        <v/>
      </c>
      <c r="L35" s="25" t="str">
        <f t="shared" si="54"/>
        <v/>
      </c>
      <c r="M35" s="25" t="str">
        <f t="shared" si="54"/>
        <v/>
      </c>
      <c r="N35" s="25" t="str">
        <f t="shared" si="54"/>
        <v/>
      </c>
      <c r="O35" s="25" t="str">
        <f t="shared" si="54"/>
        <v/>
      </c>
      <c r="P35" s="25" t="str">
        <f t="shared" si="54"/>
        <v/>
      </c>
      <c r="Q35" s="25" t="str">
        <f t="shared" si="54"/>
        <v/>
      </c>
      <c r="R35" s="20"/>
      <c r="T35" s="442"/>
      <c r="U35" s="443">
        <v>2</v>
      </c>
      <c r="W35" s="67" t="s">
        <v>276</v>
      </c>
      <c r="Y35" s="63"/>
      <c r="Z35" s="50">
        <f t="shared" si="48"/>
        <v>175</v>
      </c>
      <c r="AA35" s="45">
        <v>207</v>
      </c>
      <c r="AB35" s="50">
        <f t="shared" si="49"/>
        <v>325</v>
      </c>
      <c r="AC35" s="45">
        <v>350</v>
      </c>
      <c r="AD35" s="46">
        <f t="shared" si="34"/>
        <v>0.78125</v>
      </c>
      <c r="AE35" s="57">
        <f t="shared" si="53"/>
        <v>325</v>
      </c>
      <c r="AF35" s="48" t="str">
        <f t="shared" si="35"/>
        <v/>
      </c>
      <c r="AG35" s="48" t="str">
        <f t="shared" si="35"/>
        <v/>
      </c>
      <c r="AH35" s="48" t="str">
        <f t="shared" si="35"/>
        <v/>
      </c>
      <c r="AI35" s="48" t="str">
        <f t="shared" si="35"/>
        <v/>
      </c>
      <c r="AJ35" s="48" t="str">
        <f t="shared" si="35"/>
        <v/>
      </c>
      <c r="AK35" s="48" t="str">
        <f t="shared" si="35"/>
        <v/>
      </c>
      <c r="AL35" s="48" t="str">
        <f t="shared" si="35"/>
        <v/>
      </c>
      <c r="AM35" s="48" t="str">
        <f t="shared" si="35"/>
        <v/>
      </c>
      <c r="AN35" s="48" t="str">
        <f t="shared" si="35"/>
        <v/>
      </c>
      <c r="AO35" s="48" t="str">
        <f t="shared" si="35"/>
        <v/>
      </c>
      <c r="AP35" s="48" t="str">
        <f t="shared" si="35"/>
        <v/>
      </c>
      <c r="AQ35" s="48" t="str">
        <f t="shared" si="35"/>
        <v/>
      </c>
      <c r="AR35" s="49" t="str">
        <f t="shared" si="36"/>
        <v/>
      </c>
      <c r="AS35" s="49" t="str">
        <f t="shared" si="37"/>
        <v/>
      </c>
      <c r="AT35" s="49" t="str">
        <f t="shared" si="38"/>
        <v/>
      </c>
      <c r="AU35" s="49" t="str">
        <f t="shared" si="39"/>
        <v/>
      </c>
      <c r="AV35" s="49" t="str">
        <f t="shared" si="40"/>
        <v/>
      </c>
      <c r="AW35" s="49" t="str">
        <f t="shared" si="41"/>
        <v/>
      </c>
      <c r="AX35" s="49" t="str">
        <f t="shared" si="42"/>
        <v/>
      </c>
      <c r="AY35" s="49" t="str">
        <f t="shared" si="43"/>
        <v/>
      </c>
      <c r="AZ35" s="49" t="str">
        <f t="shared" si="44"/>
        <v/>
      </c>
      <c r="BA35" s="49" t="str">
        <f t="shared" si="45"/>
        <v/>
      </c>
      <c r="BB35" s="49" t="str">
        <f t="shared" si="46"/>
        <v/>
      </c>
      <c r="BC35" s="49" t="str">
        <f t="shared" si="47"/>
        <v/>
      </c>
    </row>
    <row r="36" spans="1:55" ht="15" customHeight="1" x14ac:dyDescent="0.15">
      <c r="A36" s="20"/>
      <c r="C36" s="441"/>
      <c r="D36" s="443"/>
      <c r="E36" s="39" t="s">
        <v>33</v>
      </c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0"/>
      <c r="T36" s="441" t="s">
        <v>224</v>
      </c>
      <c r="U36" s="443">
        <v>2</v>
      </c>
      <c r="W36" s="67" t="s">
        <v>277</v>
      </c>
      <c r="Y36" s="63"/>
      <c r="Z36" s="50">
        <f t="shared" si="48"/>
        <v>207</v>
      </c>
      <c r="AA36" s="45">
        <v>240</v>
      </c>
      <c r="AB36" s="50">
        <f t="shared" si="49"/>
        <v>350</v>
      </c>
      <c r="AC36" s="45">
        <v>375</v>
      </c>
      <c r="AD36" s="46">
        <f t="shared" si="34"/>
        <v>0.75757575757575757</v>
      </c>
      <c r="AE36" s="57">
        <f t="shared" si="53"/>
        <v>350</v>
      </c>
      <c r="AF36" s="48" t="str">
        <f t="shared" si="35"/>
        <v/>
      </c>
      <c r="AG36" s="48" t="str">
        <f t="shared" si="35"/>
        <v/>
      </c>
      <c r="AH36" s="48" t="str">
        <f t="shared" si="35"/>
        <v/>
      </c>
      <c r="AI36" s="48" t="str">
        <f t="shared" si="35"/>
        <v/>
      </c>
      <c r="AJ36" s="48" t="str">
        <f t="shared" si="35"/>
        <v/>
      </c>
      <c r="AK36" s="48" t="str">
        <f t="shared" si="35"/>
        <v/>
      </c>
      <c r="AL36" s="48" t="str">
        <f t="shared" si="35"/>
        <v/>
      </c>
      <c r="AM36" s="48" t="str">
        <f t="shared" si="35"/>
        <v/>
      </c>
      <c r="AN36" s="48" t="str">
        <f t="shared" si="35"/>
        <v/>
      </c>
      <c r="AO36" s="48" t="str">
        <f t="shared" si="35"/>
        <v/>
      </c>
      <c r="AP36" s="48" t="str">
        <f t="shared" si="35"/>
        <v/>
      </c>
      <c r="AQ36" s="48" t="str">
        <f t="shared" si="35"/>
        <v/>
      </c>
      <c r="AR36" s="49" t="str">
        <f t="shared" si="36"/>
        <v/>
      </c>
      <c r="AS36" s="49" t="str">
        <f t="shared" si="37"/>
        <v/>
      </c>
      <c r="AT36" s="49" t="str">
        <f t="shared" si="38"/>
        <v/>
      </c>
      <c r="AU36" s="49" t="str">
        <f t="shared" si="39"/>
        <v/>
      </c>
      <c r="AV36" s="49" t="str">
        <f t="shared" si="40"/>
        <v/>
      </c>
      <c r="AW36" s="49" t="str">
        <f t="shared" si="41"/>
        <v/>
      </c>
      <c r="AX36" s="49" t="str">
        <f t="shared" si="42"/>
        <v/>
      </c>
      <c r="AY36" s="49" t="str">
        <f t="shared" si="43"/>
        <v/>
      </c>
      <c r="AZ36" s="49" t="str">
        <f t="shared" si="44"/>
        <v/>
      </c>
      <c r="BA36" s="49" t="str">
        <f t="shared" si="45"/>
        <v/>
      </c>
      <c r="BB36" s="49" t="str">
        <f t="shared" si="46"/>
        <v/>
      </c>
      <c r="BC36" s="49" t="str">
        <f t="shared" si="47"/>
        <v/>
      </c>
    </row>
    <row r="37" spans="1:55" ht="15" customHeight="1" x14ac:dyDescent="0.15">
      <c r="A37" s="20"/>
      <c r="C37" s="442"/>
      <c r="D37" s="443"/>
      <c r="E37" s="70" t="s">
        <v>202</v>
      </c>
      <c r="F37" s="25" t="str">
        <f t="shared" ref="F37:Q37" si="55">IF(F36="","",$D36*F36)</f>
        <v/>
      </c>
      <c r="G37" s="25" t="str">
        <f t="shared" si="55"/>
        <v/>
      </c>
      <c r="H37" s="25" t="str">
        <f t="shared" si="55"/>
        <v/>
      </c>
      <c r="I37" s="25" t="str">
        <f t="shared" si="55"/>
        <v/>
      </c>
      <c r="J37" s="25" t="str">
        <f t="shared" si="55"/>
        <v/>
      </c>
      <c r="K37" s="25" t="str">
        <f t="shared" si="55"/>
        <v/>
      </c>
      <c r="L37" s="25" t="str">
        <f t="shared" si="55"/>
        <v/>
      </c>
      <c r="M37" s="25" t="str">
        <f t="shared" si="55"/>
        <v/>
      </c>
      <c r="N37" s="25" t="str">
        <f t="shared" si="55"/>
        <v/>
      </c>
      <c r="O37" s="25" t="str">
        <f t="shared" si="55"/>
        <v/>
      </c>
      <c r="P37" s="25" t="str">
        <f t="shared" si="55"/>
        <v/>
      </c>
      <c r="Q37" s="25" t="str">
        <f t="shared" si="55"/>
        <v/>
      </c>
      <c r="R37" s="20"/>
      <c r="T37" s="442"/>
      <c r="U37" s="443">
        <v>2</v>
      </c>
      <c r="W37" s="69" t="s">
        <v>278</v>
      </c>
      <c r="Y37" s="63"/>
      <c r="Z37" s="50">
        <f t="shared" si="48"/>
        <v>240</v>
      </c>
      <c r="AA37" s="45">
        <v>455</v>
      </c>
      <c r="AB37" s="50">
        <f t="shared" si="49"/>
        <v>375</v>
      </c>
      <c r="AC37" s="45">
        <v>505</v>
      </c>
      <c r="AD37" s="46">
        <f t="shared" si="34"/>
        <v>0.60465116279069764</v>
      </c>
      <c r="AE37" s="57">
        <f t="shared" si="53"/>
        <v>375</v>
      </c>
      <c r="AF37" s="48" t="str">
        <f t="shared" si="35"/>
        <v/>
      </c>
      <c r="AG37" s="48" t="str">
        <f t="shared" si="35"/>
        <v/>
      </c>
      <c r="AH37" s="48" t="str">
        <f t="shared" si="35"/>
        <v/>
      </c>
      <c r="AI37" s="48" t="str">
        <f t="shared" si="35"/>
        <v/>
      </c>
      <c r="AJ37" s="48" t="str">
        <f t="shared" si="35"/>
        <v/>
      </c>
      <c r="AK37" s="48" t="str">
        <f t="shared" si="35"/>
        <v/>
      </c>
      <c r="AL37" s="48" t="str">
        <f t="shared" si="35"/>
        <v/>
      </c>
      <c r="AM37" s="48" t="str">
        <f t="shared" si="35"/>
        <v/>
      </c>
      <c r="AN37" s="48" t="str">
        <f t="shared" si="35"/>
        <v/>
      </c>
      <c r="AO37" s="48" t="str">
        <f t="shared" si="35"/>
        <v/>
      </c>
      <c r="AP37" s="48" t="str">
        <f t="shared" si="35"/>
        <v/>
      </c>
      <c r="AQ37" s="48" t="str">
        <f t="shared" si="35"/>
        <v/>
      </c>
      <c r="AR37" s="49" t="str">
        <f t="shared" si="36"/>
        <v/>
      </c>
      <c r="AS37" s="49" t="str">
        <f t="shared" si="37"/>
        <v/>
      </c>
      <c r="AT37" s="49" t="str">
        <f t="shared" si="38"/>
        <v/>
      </c>
      <c r="AU37" s="49" t="str">
        <f t="shared" si="39"/>
        <v/>
      </c>
      <c r="AV37" s="49" t="str">
        <f t="shared" si="40"/>
        <v/>
      </c>
      <c r="AW37" s="49" t="str">
        <f t="shared" si="41"/>
        <v/>
      </c>
      <c r="AX37" s="49" t="str">
        <f t="shared" si="42"/>
        <v/>
      </c>
      <c r="AY37" s="49" t="str">
        <f t="shared" si="43"/>
        <v/>
      </c>
      <c r="AZ37" s="49" t="str">
        <f t="shared" si="44"/>
        <v/>
      </c>
      <c r="BA37" s="49" t="str">
        <f t="shared" si="45"/>
        <v/>
      </c>
      <c r="BB37" s="49" t="str">
        <f t="shared" si="46"/>
        <v/>
      </c>
      <c r="BC37" s="49" t="str">
        <f t="shared" si="47"/>
        <v/>
      </c>
    </row>
    <row r="38" spans="1:55" ht="15" customHeight="1" x14ac:dyDescent="0.15">
      <c r="A38" s="20"/>
      <c r="C38" s="441"/>
      <c r="D38" s="443"/>
      <c r="E38" s="39" t="s">
        <v>33</v>
      </c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0"/>
      <c r="T38" s="441"/>
      <c r="U38" s="443"/>
      <c r="W38" s="67" t="s">
        <v>279</v>
      </c>
      <c r="Y38" s="63"/>
      <c r="Z38" s="50">
        <f t="shared" si="48"/>
        <v>455</v>
      </c>
      <c r="AA38" s="45">
        <v>810</v>
      </c>
      <c r="AB38" s="50">
        <f t="shared" si="49"/>
        <v>505</v>
      </c>
      <c r="AC38" s="45">
        <v>710</v>
      </c>
      <c r="AD38" s="46">
        <f t="shared" si="34"/>
        <v>0.57746478873239437</v>
      </c>
      <c r="AE38" s="57">
        <f t="shared" si="53"/>
        <v>505</v>
      </c>
      <c r="AF38" s="48" t="str">
        <f t="shared" si="35"/>
        <v/>
      </c>
      <c r="AG38" s="48" t="str">
        <f t="shared" si="35"/>
        <v/>
      </c>
      <c r="AH38" s="48" t="str">
        <f t="shared" si="35"/>
        <v/>
      </c>
      <c r="AI38" s="48" t="str">
        <f t="shared" si="35"/>
        <v/>
      </c>
      <c r="AJ38" s="48" t="str">
        <f t="shared" si="35"/>
        <v/>
      </c>
      <c r="AK38" s="48" t="str">
        <f t="shared" si="35"/>
        <v/>
      </c>
      <c r="AL38" s="48" t="str">
        <f t="shared" si="35"/>
        <v/>
      </c>
      <c r="AM38" s="48" t="str">
        <f t="shared" si="35"/>
        <v/>
      </c>
      <c r="AN38" s="48" t="str">
        <f t="shared" si="35"/>
        <v/>
      </c>
      <c r="AO38" s="48" t="str">
        <f t="shared" si="35"/>
        <v/>
      </c>
      <c r="AP38" s="48" t="str">
        <f t="shared" si="35"/>
        <v/>
      </c>
      <c r="AQ38" s="48" t="str">
        <f t="shared" si="35"/>
        <v/>
      </c>
      <c r="AR38" s="49" t="str">
        <f t="shared" si="36"/>
        <v/>
      </c>
      <c r="AS38" s="49" t="str">
        <f t="shared" si="37"/>
        <v/>
      </c>
      <c r="AT38" s="49" t="str">
        <f t="shared" si="38"/>
        <v/>
      </c>
      <c r="AU38" s="49" t="str">
        <f t="shared" si="39"/>
        <v/>
      </c>
      <c r="AV38" s="49" t="str">
        <f t="shared" si="40"/>
        <v/>
      </c>
      <c r="AW38" s="49" t="str">
        <f t="shared" si="41"/>
        <v/>
      </c>
      <c r="AX38" s="49" t="str">
        <f t="shared" si="42"/>
        <v/>
      </c>
      <c r="AY38" s="49" t="str">
        <f t="shared" si="43"/>
        <v/>
      </c>
      <c r="AZ38" s="49" t="str">
        <f t="shared" si="44"/>
        <v/>
      </c>
      <c r="BA38" s="49" t="str">
        <f t="shared" si="45"/>
        <v/>
      </c>
      <c r="BB38" s="49" t="str">
        <f t="shared" si="46"/>
        <v/>
      </c>
      <c r="BC38" s="49" t="str">
        <f t="shared" si="47"/>
        <v/>
      </c>
    </row>
    <row r="39" spans="1:55" ht="15" customHeight="1" x14ac:dyDescent="0.15">
      <c r="A39" s="20"/>
      <c r="C39" s="442"/>
      <c r="D39" s="443"/>
      <c r="E39" s="70" t="s">
        <v>202</v>
      </c>
      <c r="F39" s="25" t="str">
        <f t="shared" ref="F39:Q39" si="56">IF(F38="","",$D38*F38)</f>
        <v/>
      </c>
      <c r="G39" s="25" t="str">
        <f t="shared" si="56"/>
        <v/>
      </c>
      <c r="H39" s="25" t="str">
        <f t="shared" si="56"/>
        <v/>
      </c>
      <c r="I39" s="25" t="str">
        <f t="shared" si="56"/>
        <v/>
      </c>
      <c r="J39" s="25" t="str">
        <f t="shared" si="56"/>
        <v/>
      </c>
      <c r="K39" s="25" t="str">
        <f t="shared" si="56"/>
        <v/>
      </c>
      <c r="L39" s="25" t="str">
        <f t="shared" si="56"/>
        <v/>
      </c>
      <c r="M39" s="25" t="str">
        <f t="shared" si="56"/>
        <v/>
      </c>
      <c r="N39" s="25" t="str">
        <f t="shared" si="56"/>
        <v/>
      </c>
      <c r="O39" s="25" t="str">
        <f t="shared" si="56"/>
        <v/>
      </c>
      <c r="P39" s="25" t="str">
        <f t="shared" si="56"/>
        <v/>
      </c>
      <c r="Q39" s="25" t="str">
        <f t="shared" si="56"/>
        <v/>
      </c>
      <c r="R39" s="20"/>
      <c r="T39" s="442"/>
      <c r="U39" s="443"/>
      <c r="W39" s="67" t="s">
        <v>280</v>
      </c>
      <c r="Y39" s="63"/>
      <c r="Z39" s="50">
        <f t="shared" si="48"/>
        <v>810</v>
      </c>
      <c r="AA39" s="45">
        <v>1000</v>
      </c>
      <c r="AB39" s="50">
        <f t="shared" si="49"/>
        <v>710</v>
      </c>
      <c r="AC39" s="45">
        <v>815</v>
      </c>
      <c r="AD39" s="46">
        <f t="shared" si="34"/>
        <v>0.55263157894736847</v>
      </c>
      <c r="AE39" s="57">
        <f t="shared" si="53"/>
        <v>710</v>
      </c>
      <c r="AF39" s="48" t="str">
        <f t="shared" si="35"/>
        <v/>
      </c>
      <c r="AG39" s="48" t="str">
        <f t="shared" si="35"/>
        <v/>
      </c>
      <c r="AH39" s="48" t="str">
        <f t="shared" si="35"/>
        <v/>
      </c>
      <c r="AI39" s="48" t="str">
        <f t="shared" si="35"/>
        <v/>
      </c>
      <c r="AJ39" s="48" t="str">
        <f t="shared" si="35"/>
        <v/>
      </c>
      <c r="AK39" s="48" t="str">
        <f t="shared" si="35"/>
        <v/>
      </c>
      <c r="AL39" s="48" t="str">
        <f t="shared" si="35"/>
        <v/>
      </c>
      <c r="AM39" s="48" t="str">
        <f t="shared" si="35"/>
        <v/>
      </c>
      <c r="AN39" s="48" t="str">
        <f t="shared" si="35"/>
        <v/>
      </c>
      <c r="AO39" s="48" t="str">
        <f t="shared" si="35"/>
        <v/>
      </c>
      <c r="AP39" s="48" t="str">
        <f t="shared" si="35"/>
        <v/>
      </c>
      <c r="AQ39" s="48" t="str">
        <f t="shared" si="35"/>
        <v/>
      </c>
      <c r="AR39" s="49" t="str">
        <f t="shared" si="36"/>
        <v/>
      </c>
      <c r="AS39" s="49" t="str">
        <f t="shared" si="37"/>
        <v/>
      </c>
      <c r="AT39" s="49" t="str">
        <f t="shared" si="38"/>
        <v/>
      </c>
      <c r="AU39" s="49" t="str">
        <f t="shared" si="39"/>
        <v/>
      </c>
      <c r="AV39" s="49" t="str">
        <f t="shared" si="40"/>
        <v/>
      </c>
      <c r="AW39" s="49" t="str">
        <f t="shared" si="41"/>
        <v/>
      </c>
      <c r="AX39" s="49" t="str">
        <f t="shared" si="42"/>
        <v/>
      </c>
      <c r="AY39" s="49" t="str">
        <f t="shared" si="43"/>
        <v/>
      </c>
      <c r="AZ39" s="49" t="str">
        <f t="shared" si="44"/>
        <v/>
      </c>
      <c r="BA39" s="49" t="str">
        <f t="shared" si="45"/>
        <v/>
      </c>
      <c r="BB39" s="49" t="str">
        <f t="shared" si="46"/>
        <v/>
      </c>
      <c r="BC39" s="49" t="str">
        <f t="shared" si="47"/>
        <v/>
      </c>
    </row>
    <row r="40" spans="1:55" ht="15" customHeight="1" x14ac:dyDescent="0.15">
      <c r="A40" s="20"/>
      <c r="C40" s="444" t="s">
        <v>221</v>
      </c>
      <c r="D40" s="445"/>
      <c r="E40" s="71" t="s">
        <v>33</v>
      </c>
      <c r="F40" s="26" t="str">
        <f t="array" ref="F40">IF(SUM(IF($E$6:$E$39="個数",F6:F39,0))=0,"",SUM(IF($E$6:$E$39="個数",F6:F39,0)))</f>
        <v/>
      </c>
      <c r="G40" s="26" t="str">
        <f t="array" ref="G40">IF(SUM(IF($E$6:$E$39="個数",G6:G39,0))=0,"",SUM(IF($E$6:$E$39="個数",G6:G39,0)))</f>
        <v/>
      </c>
      <c r="H40" s="26" t="str">
        <f t="array" ref="H40">IF(SUM(IF($E$6:$E$39="個数",H6:H39,0))=0,"",SUM(IF($E$6:$E$39="個数",H6:H39,0)))</f>
        <v/>
      </c>
      <c r="I40" s="26" t="str">
        <f t="array" ref="I40">IF(SUM(IF($E$6:$E$39="個数",I6:I39,0))=0,"",SUM(IF($E$6:$E$39="個数",I6:I39,0)))</f>
        <v/>
      </c>
      <c r="J40" s="26" t="str">
        <f t="array" ref="J40">IF(SUM(IF($E$6:$E$39="個数",J6:J39,0))=0,"",SUM(IF($E$6:$E$39="個数",J6:J39,0)))</f>
        <v/>
      </c>
      <c r="K40" s="26" t="str">
        <f t="array" ref="K40">IF(SUM(IF($E$6:$E$39="個数",K6:K39,0))=0,"",SUM(IF($E$6:$E$39="個数",K6:K39,0)))</f>
        <v/>
      </c>
      <c r="L40" s="26" t="str">
        <f t="array" ref="L40">IF(SUM(IF($E$6:$E$39="個数",L6:L39,0))=0,"",SUM(IF($E$6:$E$39="個数",L6:L39,0)))</f>
        <v/>
      </c>
      <c r="M40" s="26" t="str">
        <f t="array" ref="M40">IF(SUM(IF($E$6:$E$39="個数",M6:M39,0))=0,"",SUM(IF($E$6:$E$39="個数",M6:M39,0)))</f>
        <v/>
      </c>
      <c r="N40" s="26" t="str">
        <f t="array" ref="N40">IF(SUM(IF($E$6:$E$39="個数",N6:N39,0))=0,"",SUM(IF($E$6:$E$39="個数",N6:N39,0)))</f>
        <v/>
      </c>
      <c r="O40" s="26" t="str">
        <f t="array" ref="O40">IF(SUM(IF($E$6:$E$39="個数",O6:O39,0))=0,"",SUM(IF($E$6:$E$39="個数",O6:O39,0)))</f>
        <v/>
      </c>
      <c r="P40" s="26" t="str">
        <f t="array" ref="P40">IF(SUM(IF($E$6:$E$39="個数",P6:P39,0))=0,"",SUM(IF($E$6:$E$39="個数",P6:P39,0)))</f>
        <v/>
      </c>
      <c r="Q40" s="26" t="str">
        <f t="array" ref="Q40">IF(SUM(IF($E$6:$E$39="個数",Q6:Q39,0))=0,"",SUM(IF($E$6:$E$39="個数",Q6:Q39,0)))</f>
        <v/>
      </c>
      <c r="R40" s="20"/>
      <c r="W40" s="67" t="s">
        <v>281</v>
      </c>
      <c r="Y40" s="63"/>
      <c r="Z40" s="50">
        <f t="shared" si="48"/>
        <v>1000</v>
      </c>
      <c r="AA40" s="45">
        <v>1345</v>
      </c>
      <c r="AB40" s="50">
        <f t="shared" si="49"/>
        <v>815</v>
      </c>
      <c r="AC40" s="45">
        <v>970</v>
      </c>
      <c r="AD40" s="46">
        <f t="shared" si="34"/>
        <v>0.44927536231884058</v>
      </c>
      <c r="AE40" s="57">
        <f t="shared" si="53"/>
        <v>815</v>
      </c>
      <c r="AF40" s="48" t="str">
        <f t="shared" si="35"/>
        <v/>
      </c>
      <c r="AG40" s="48" t="str">
        <f t="shared" si="35"/>
        <v/>
      </c>
      <c r="AH40" s="48" t="str">
        <f t="shared" si="35"/>
        <v/>
      </c>
      <c r="AI40" s="48" t="str">
        <f t="shared" si="35"/>
        <v/>
      </c>
      <c r="AJ40" s="48" t="str">
        <f t="shared" si="35"/>
        <v/>
      </c>
      <c r="AK40" s="48" t="str">
        <f t="shared" si="35"/>
        <v/>
      </c>
      <c r="AL40" s="48" t="str">
        <f t="shared" si="35"/>
        <v/>
      </c>
      <c r="AM40" s="48" t="str">
        <f t="shared" si="35"/>
        <v/>
      </c>
      <c r="AN40" s="48" t="str">
        <f t="shared" si="35"/>
        <v/>
      </c>
      <c r="AO40" s="48" t="str">
        <f t="shared" si="35"/>
        <v/>
      </c>
      <c r="AP40" s="48" t="str">
        <f t="shared" si="35"/>
        <v/>
      </c>
      <c r="AQ40" s="48" t="str">
        <f t="shared" si="35"/>
        <v/>
      </c>
      <c r="AR40" s="49" t="str">
        <f t="shared" si="36"/>
        <v/>
      </c>
      <c r="AS40" s="49" t="str">
        <f t="shared" si="37"/>
        <v/>
      </c>
      <c r="AT40" s="49" t="str">
        <f t="shared" si="38"/>
        <v/>
      </c>
      <c r="AU40" s="49" t="str">
        <f t="shared" si="39"/>
        <v/>
      </c>
      <c r="AV40" s="49" t="str">
        <f t="shared" si="40"/>
        <v/>
      </c>
      <c r="AW40" s="49" t="str">
        <f t="shared" si="41"/>
        <v/>
      </c>
      <c r="AX40" s="49" t="str">
        <f t="shared" si="42"/>
        <v/>
      </c>
      <c r="AY40" s="49" t="str">
        <f t="shared" si="43"/>
        <v/>
      </c>
      <c r="AZ40" s="49" t="str">
        <f t="shared" si="44"/>
        <v/>
      </c>
      <c r="BA40" s="49" t="str">
        <f t="shared" si="45"/>
        <v/>
      </c>
      <c r="BB40" s="49" t="str">
        <f t="shared" si="46"/>
        <v/>
      </c>
      <c r="BC40" s="49" t="str">
        <f t="shared" si="47"/>
        <v/>
      </c>
    </row>
    <row r="41" spans="1:55" ht="15" customHeight="1" x14ac:dyDescent="0.15">
      <c r="A41" s="20"/>
      <c r="C41" s="446"/>
      <c r="D41" s="447"/>
      <c r="E41" s="70" t="s">
        <v>202</v>
      </c>
      <c r="F41" s="25" t="str">
        <f t="array" ref="F41">IF(SUM(IF($E$6:$E$39="単位数",F6:F39,0))=0,"",SUM(IF($E$6:$E$39="単位数",F6:F39,0)))</f>
        <v/>
      </c>
      <c r="G41" s="25" t="str">
        <f t="array" ref="G41">IF(SUM(IF($E$6:$E$39="単位数",G6:G39,0))=0,"",SUM(IF($E$6:$E$39="単位数",G6:G39,0)))</f>
        <v/>
      </c>
      <c r="H41" s="25" t="str">
        <f t="array" ref="H41">IF(SUM(IF($E$6:$E$39="単位数",H6:H39,0))=0,"",SUM(IF($E$6:$E$39="単位数",H6:H39,0)))</f>
        <v/>
      </c>
      <c r="I41" s="25" t="str">
        <f t="array" ref="I41">IF(SUM(IF($E$6:$E$39="単位数",I6:I39,0))=0,"",SUM(IF($E$6:$E$39="単位数",I6:I39,0)))</f>
        <v/>
      </c>
      <c r="J41" s="25" t="str">
        <f t="array" ref="J41">IF(SUM(IF($E$6:$E$39="単位数",J6:J39,0))=0,"",SUM(IF($E$6:$E$39="単位数",J6:J39,0)))</f>
        <v/>
      </c>
      <c r="K41" s="25" t="str">
        <f t="array" ref="K41">IF(SUM(IF($E$6:$E$39="単位数",K6:K39,0))=0,"",SUM(IF($E$6:$E$39="単位数",K6:K39,0)))</f>
        <v/>
      </c>
      <c r="L41" s="25" t="str">
        <f t="array" ref="L41">IF(SUM(IF($E$6:$E$39="単位数",L6:L39,0))=0,"",SUM(IF($E$6:$E$39="単位数",L6:L39,0)))</f>
        <v/>
      </c>
      <c r="M41" s="25" t="str">
        <f t="array" ref="M41">IF(SUM(IF($E$6:$E$39="単位数",M6:M39,0))=0,"",SUM(IF($E$6:$E$39="単位数",M6:M39,0)))</f>
        <v/>
      </c>
      <c r="N41" s="25" t="str">
        <f t="array" ref="N41">IF(SUM(IF($E$6:$E$39="単位数",N6:N39,0))=0,"",SUM(IF($E$6:$E$39="単位数",N6:N39,0)))</f>
        <v/>
      </c>
      <c r="O41" s="25" t="str">
        <f t="array" ref="O41">IF(SUM(IF($E$6:$E$39="単位数",O6:O39,0))=0,"",SUM(IF($E$6:$E$39="単位数",O6:O39,0)))</f>
        <v/>
      </c>
      <c r="P41" s="25" t="str">
        <f t="array" ref="P41">IF(SUM(IF($E$6:$E$39="単位数",P6:P39,0))=0,"",SUM(IF($E$6:$E$39="単位数",P6:P39,0)))</f>
        <v/>
      </c>
      <c r="Q41" s="25" t="str">
        <f t="array" ref="Q41">IF(SUM(IF($E$6:$E$39="単位数",Q6:Q39,0))=0,"",SUM(IF($E$6:$E$39="単位数",Q6:Q39,0)))</f>
        <v/>
      </c>
      <c r="R41" s="20"/>
      <c r="W41" s="67" t="s">
        <v>282</v>
      </c>
      <c r="Y41" s="64"/>
      <c r="Z41" s="50">
        <f t="shared" si="48"/>
        <v>1345</v>
      </c>
      <c r="AA41" s="45">
        <v>1710</v>
      </c>
      <c r="AB41" s="50">
        <f t="shared" si="49"/>
        <v>970</v>
      </c>
      <c r="AC41" s="45">
        <v>1130</v>
      </c>
      <c r="AD41" s="46">
        <f t="shared" si="34"/>
        <v>0.43835616438356162</v>
      </c>
      <c r="AE41" s="57">
        <f t="shared" si="53"/>
        <v>970</v>
      </c>
      <c r="AF41" s="48" t="str">
        <f t="shared" si="35"/>
        <v/>
      </c>
      <c r="AG41" s="48" t="str">
        <f t="shared" si="35"/>
        <v/>
      </c>
      <c r="AH41" s="48" t="str">
        <f t="shared" si="35"/>
        <v/>
      </c>
      <c r="AI41" s="48" t="str">
        <f t="shared" si="35"/>
        <v/>
      </c>
      <c r="AJ41" s="48" t="str">
        <f t="shared" si="35"/>
        <v/>
      </c>
      <c r="AK41" s="48" t="str">
        <f t="shared" si="35"/>
        <v/>
      </c>
      <c r="AL41" s="48" t="str">
        <f t="shared" si="35"/>
        <v/>
      </c>
      <c r="AM41" s="48" t="str">
        <f t="shared" si="35"/>
        <v/>
      </c>
      <c r="AN41" s="48" t="str">
        <f t="shared" si="35"/>
        <v/>
      </c>
      <c r="AO41" s="48" t="str">
        <f t="shared" si="35"/>
        <v/>
      </c>
      <c r="AP41" s="48" t="str">
        <f t="shared" si="35"/>
        <v/>
      </c>
      <c r="AQ41" s="48" t="str">
        <f t="shared" si="35"/>
        <v/>
      </c>
      <c r="AR41" s="49" t="str">
        <f t="shared" si="36"/>
        <v/>
      </c>
      <c r="AS41" s="49" t="str">
        <f t="shared" si="37"/>
        <v/>
      </c>
      <c r="AT41" s="49" t="str">
        <f t="shared" si="38"/>
        <v/>
      </c>
      <c r="AU41" s="49" t="str">
        <f t="shared" si="39"/>
        <v/>
      </c>
      <c r="AV41" s="49" t="str">
        <f t="shared" si="40"/>
        <v/>
      </c>
      <c r="AW41" s="49" t="str">
        <f t="shared" si="41"/>
        <v/>
      </c>
      <c r="AX41" s="49" t="str">
        <f t="shared" si="42"/>
        <v/>
      </c>
      <c r="AY41" s="49" t="str">
        <f t="shared" si="43"/>
        <v/>
      </c>
      <c r="AZ41" s="49" t="str">
        <f t="shared" si="44"/>
        <v/>
      </c>
      <c r="BA41" s="49" t="str">
        <f t="shared" si="45"/>
        <v/>
      </c>
      <c r="BB41" s="49" t="str">
        <f t="shared" si="46"/>
        <v/>
      </c>
      <c r="BC41" s="49" t="str">
        <f t="shared" si="47"/>
        <v/>
      </c>
    </row>
    <row r="42" spans="1:55" ht="15" customHeight="1" x14ac:dyDescent="0.15">
      <c r="A42" s="20"/>
      <c r="C42" s="448" t="s">
        <v>223</v>
      </c>
      <c r="D42" s="449"/>
      <c r="E42" s="450"/>
      <c r="F42" s="27" t="str">
        <f t="shared" ref="F42:Q42" si="57">IF(AR43=0,"",AR43)</f>
        <v/>
      </c>
      <c r="G42" s="27" t="str">
        <f t="shared" si="57"/>
        <v/>
      </c>
      <c r="H42" s="27" t="str">
        <f t="shared" si="57"/>
        <v/>
      </c>
      <c r="I42" s="27" t="str">
        <f t="shared" si="57"/>
        <v/>
      </c>
      <c r="J42" s="27" t="str">
        <f t="shared" si="57"/>
        <v/>
      </c>
      <c r="K42" s="27" t="str">
        <f t="shared" si="57"/>
        <v/>
      </c>
      <c r="L42" s="27" t="str">
        <f t="shared" si="57"/>
        <v/>
      </c>
      <c r="M42" s="27" t="str">
        <f t="shared" si="57"/>
        <v/>
      </c>
      <c r="N42" s="27" t="str">
        <f t="shared" si="57"/>
        <v/>
      </c>
      <c r="O42" s="27" t="str">
        <f t="shared" si="57"/>
        <v/>
      </c>
      <c r="P42" s="27" t="str">
        <f t="shared" si="57"/>
        <v/>
      </c>
      <c r="Q42" s="27" t="str">
        <f t="shared" si="57"/>
        <v/>
      </c>
      <c r="R42" s="20"/>
      <c r="W42" s="67" t="s">
        <v>283</v>
      </c>
      <c r="Y42" s="41"/>
      <c r="Z42" s="41"/>
      <c r="AA42" s="41"/>
      <c r="AB42" s="41"/>
      <c r="AC42" s="41"/>
      <c r="AD42" s="41"/>
      <c r="AE42" s="41"/>
      <c r="AF42" s="41"/>
      <c r="AG42" s="41"/>
      <c r="AH42" s="3"/>
      <c r="AR42" s="56"/>
      <c r="AS42" s="56"/>
      <c r="AT42" s="56"/>
      <c r="AU42" s="56"/>
      <c r="AV42" s="56"/>
      <c r="AW42" s="56"/>
      <c r="AX42" s="56"/>
    </row>
    <row r="43" spans="1:55" ht="15" customHeight="1" x14ac:dyDescent="0.15">
      <c r="A43" s="20"/>
      <c r="C43" s="28"/>
      <c r="D43" s="28"/>
      <c r="E43" s="28"/>
      <c r="F43" s="28"/>
      <c r="G43" s="28"/>
      <c r="H43" s="28"/>
      <c r="I43" s="29"/>
      <c r="J43" s="28"/>
      <c r="K43" s="28"/>
      <c r="L43" s="28"/>
      <c r="M43" s="28"/>
      <c r="R43" s="20"/>
      <c r="W43" s="67" t="s">
        <v>284</v>
      </c>
      <c r="Y43" s="58" t="s">
        <v>245</v>
      </c>
      <c r="Z43" s="41"/>
      <c r="AA43" s="41"/>
      <c r="AB43" s="41"/>
      <c r="AC43" s="41"/>
      <c r="AD43" s="41"/>
      <c r="AE43" s="41"/>
      <c r="AF43" s="41"/>
      <c r="AG43" s="41"/>
      <c r="AH43" s="3"/>
      <c r="AR43" s="59">
        <f t="shared" ref="AR43:BC43" si="58">SUM(AR11:AR41)</f>
        <v>0</v>
      </c>
      <c r="AS43" s="59">
        <f t="shared" si="58"/>
        <v>0</v>
      </c>
      <c r="AT43" s="59">
        <f t="shared" si="58"/>
        <v>0</v>
      </c>
      <c r="AU43" s="59">
        <f t="shared" si="58"/>
        <v>0</v>
      </c>
      <c r="AV43" s="59">
        <f t="shared" si="58"/>
        <v>0</v>
      </c>
      <c r="AW43" s="59">
        <f t="shared" si="58"/>
        <v>0</v>
      </c>
      <c r="AX43" s="59">
        <f t="shared" si="58"/>
        <v>0</v>
      </c>
      <c r="AY43" s="59">
        <f t="shared" si="58"/>
        <v>0</v>
      </c>
      <c r="AZ43" s="59">
        <f t="shared" si="58"/>
        <v>0</v>
      </c>
      <c r="BA43" s="59">
        <f t="shared" si="58"/>
        <v>0</v>
      </c>
      <c r="BB43" s="59">
        <f t="shared" si="58"/>
        <v>0</v>
      </c>
      <c r="BC43" s="59">
        <f t="shared" si="58"/>
        <v>0</v>
      </c>
    </row>
    <row r="44" spans="1:55" ht="15" customHeight="1" x14ac:dyDescent="0.15">
      <c r="A44" s="20"/>
      <c r="C44" s="472" t="s">
        <v>286</v>
      </c>
      <c r="D44" s="473"/>
      <c r="E44" s="474"/>
      <c r="F44" s="438" t="s">
        <v>291</v>
      </c>
      <c r="G44" s="439"/>
      <c r="H44" s="439"/>
      <c r="I44" s="439"/>
      <c r="J44" s="439"/>
      <c r="K44" s="440"/>
      <c r="R44" s="20"/>
      <c r="W44" s="67" t="s">
        <v>285</v>
      </c>
      <c r="Y44" s="41"/>
      <c r="Z44" s="41"/>
      <c r="AA44" s="41"/>
      <c r="AB44" s="41"/>
      <c r="AC44" s="41"/>
      <c r="AD44" s="41"/>
      <c r="AE44" s="41"/>
      <c r="AF44" s="41"/>
      <c r="AG44" s="41"/>
      <c r="AH44" s="3"/>
      <c r="AR44" s="60"/>
    </row>
    <row r="45" spans="1:55" ht="15" customHeight="1" x14ac:dyDescent="0.15">
      <c r="A45" s="20"/>
      <c r="C45" s="65"/>
      <c r="D45" s="65"/>
      <c r="E45" s="65"/>
      <c r="F45" s="66"/>
      <c r="R45" s="20"/>
      <c r="W45" s="67" t="s">
        <v>102</v>
      </c>
    </row>
    <row r="46" spans="1:55" ht="15" customHeight="1" x14ac:dyDescent="0.15">
      <c r="A46" s="20"/>
      <c r="C46" s="29"/>
      <c r="D46" s="29"/>
      <c r="E46" s="29"/>
      <c r="F46" s="29"/>
      <c r="G46" s="29"/>
      <c r="H46" s="29"/>
      <c r="I46" s="29"/>
      <c r="J46" s="29"/>
      <c r="K46" s="30"/>
      <c r="L46" s="29"/>
      <c r="M46" s="29"/>
      <c r="R46" s="20"/>
      <c r="Y46" t="s">
        <v>290</v>
      </c>
    </row>
    <row r="47" spans="1:55" ht="15" customHeight="1" x14ac:dyDescent="0.15">
      <c r="A47" s="20"/>
      <c r="C47" s="470" t="s">
        <v>225</v>
      </c>
      <c r="D47" s="471"/>
      <c r="E47" s="31"/>
      <c r="F47" s="32" t="str">
        <f>F41</f>
        <v/>
      </c>
      <c r="G47" s="33" t="s">
        <v>226</v>
      </c>
      <c r="H47" s="34"/>
      <c r="I47" s="35"/>
      <c r="J47" s="29"/>
      <c r="K47" s="29"/>
      <c r="L47" s="29"/>
      <c r="R47" s="20"/>
      <c r="W47" s="9" t="s">
        <v>287</v>
      </c>
      <c r="Y47" s="72" t="s">
        <v>292</v>
      </c>
      <c r="Z47" s="73"/>
      <c r="AA47" s="73"/>
      <c r="AB47" s="73"/>
      <c r="AC47" s="74"/>
    </row>
    <row r="48" spans="1:55" ht="15" customHeight="1" x14ac:dyDescent="0.15">
      <c r="A48" s="20"/>
      <c r="C48" s="470" t="s">
        <v>301</v>
      </c>
      <c r="D48" s="471"/>
      <c r="E48" s="31"/>
      <c r="F48" s="36" t="str">
        <f>F42</f>
        <v/>
      </c>
      <c r="G48" s="33" t="s">
        <v>228</v>
      </c>
      <c r="H48" s="34"/>
      <c r="I48" s="29"/>
      <c r="J48" s="28"/>
      <c r="K48" s="28"/>
      <c r="L48" s="28"/>
      <c r="M48" s="28"/>
      <c r="R48" s="20"/>
      <c r="W48" s="67" t="s">
        <v>288</v>
      </c>
      <c r="Y48" s="72" t="s">
        <v>293</v>
      </c>
      <c r="Z48" s="73"/>
      <c r="AA48" s="73"/>
      <c r="AB48" s="73"/>
      <c r="AC48" s="74"/>
    </row>
    <row r="49" spans="1:23" ht="15" customHeight="1" x14ac:dyDescent="0.15">
      <c r="A49" s="20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R49" s="20"/>
      <c r="W49" s="67" t="s">
        <v>289</v>
      </c>
    </row>
    <row r="50" spans="1:23" ht="15" customHeight="1" x14ac:dyDescent="0.15">
      <c r="A50" s="20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R50" s="20"/>
      <c r="W50" s="67" t="s">
        <v>294</v>
      </c>
    </row>
    <row r="51" spans="1:23" ht="15" customHeight="1" x14ac:dyDescent="0.15">
      <c r="A51" s="20"/>
      <c r="C51" s="7"/>
      <c r="D51" s="28"/>
      <c r="E51" s="28"/>
      <c r="F51" s="28"/>
      <c r="G51" s="28"/>
      <c r="H51" s="28"/>
      <c r="I51" s="28"/>
      <c r="J51" s="28"/>
      <c r="K51" s="28"/>
      <c r="L51" s="28"/>
      <c r="M51" s="28"/>
      <c r="R51" s="20"/>
      <c r="W51" s="67"/>
    </row>
    <row r="52" spans="1:23" ht="15" customHeight="1" x14ac:dyDescent="0.15">
      <c r="A52" s="20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R52" s="20"/>
      <c r="W52" s="9" t="s">
        <v>296</v>
      </c>
    </row>
    <row r="53" spans="1:23" ht="15" customHeight="1" x14ac:dyDescent="0.1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W53" s="67" t="s">
        <v>297</v>
      </c>
    </row>
    <row r="54" spans="1:23" ht="12.95" customHeight="1" x14ac:dyDescent="0.15">
      <c r="W54" s="67" t="s">
        <v>298</v>
      </c>
    </row>
    <row r="55" spans="1:23" ht="12.95" customHeight="1" x14ac:dyDescent="0.15">
      <c r="W55" s="67" t="s">
        <v>299</v>
      </c>
    </row>
    <row r="56" spans="1:23" ht="12.95" customHeight="1" x14ac:dyDescent="0.15">
      <c r="B56" s="2"/>
      <c r="H56" s="6"/>
      <c r="I56" s="6"/>
      <c r="J56" s="6"/>
      <c r="K56" s="6"/>
      <c r="L56" s="6"/>
      <c r="M56" s="6"/>
      <c r="N56" s="6"/>
      <c r="W56" s="67" t="s">
        <v>300</v>
      </c>
    </row>
    <row r="57" spans="1:23" ht="12.95" customHeight="1" x14ac:dyDescent="0.15">
      <c r="B57" s="2"/>
      <c r="C57" s="2"/>
      <c r="D57" s="6"/>
      <c r="E57" s="2"/>
      <c r="F57" s="6"/>
      <c r="G57" s="2"/>
      <c r="H57" s="6"/>
      <c r="I57" s="6"/>
      <c r="J57" s="6"/>
      <c r="K57" s="6"/>
      <c r="L57" s="6"/>
      <c r="M57" s="6"/>
      <c r="N57" s="6"/>
    </row>
    <row r="58" spans="1:23" ht="12.95" customHeight="1" x14ac:dyDescent="0.15">
      <c r="B58" s="2"/>
      <c r="C58" s="37"/>
      <c r="D58" s="6"/>
      <c r="E58" s="2"/>
      <c r="F58" s="6"/>
      <c r="G58" s="2"/>
      <c r="H58" s="6"/>
      <c r="I58" s="6"/>
      <c r="J58" s="6"/>
      <c r="K58" s="6"/>
      <c r="L58" s="6"/>
      <c r="M58" s="6"/>
      <c r="N58" s="6"/>
    </row>
    <row r="59" spans="1:23" ht="12.95" customHeight="1" x14ac:dyDescent="0.15">
      <c r="B59" s="2"/>
      <c r="C59" s="2"/>
      <c r="D59" s="6"/>
      <c r="E59" s="2"/>
      <c r="F59" s="6"/>
      <c r="G59" s="2"/>
      <c r="H59" s="6"/>
      <c r="I59" s="6"/>
      <c r="J59" s="6"/>
      <c r="K59" s="6"/>
      <c r="L59" s="6"/>
      <c r="M59" s="6"/>
      <c r="N59" s="6"/>
    </row>
    <row r="60" spans="1:23" ht="12.95" customHeight="1" x14ac:dyDescent="0.15">
      <c r="H60" s="6"/>
      <c r="I60" s="6"/>
      <c r="J60" s="6"/>
      <c r="K60" s="6"/>
      <c r="L60" s="6"/>
      <c r="M60" s="6"/>
      <c r="N60" s="6"/>
    </row>
    <row r="61" spans="1:23" ht="12.95" customHeight="1" x14ac:dyDescent="0.15">
      <c r="H61" s="6"/>
      <c r="I61" s="6"/>
      <c r="J61" s="6"/>
      <c r="K61" s="6"/>
      <c r="L61" s="6"/>
      <c r="M61" s="6"/>
      <c r="N61" s="6"/>
    </row>
    <row r="62" spans="1:23" ht="12.95" customHeight="1" x14ac:dyDescent="0.15">
      <c r="H62" s="6"/>
      <c r="I62" s="6"/>
      <c r="J62" s="6"/>
      <c r="K62" s="6"/>
      <c r="L62" s="6"/>
      <c r="M62" s="6"/>
      <c r="N62" s="6"/>
    </row>
    <row r="63" spans="1:23" ht="14.25" customHeight="1" x14ac:dyDescent="0.15"/>
    <row r="64" spans="1:23" ht="14.25" customHeight="1" x14ac:dyDescent="0.15"/>
    <row r="65" ht="14.25" customHeight="1" x14ac:dyDescent="0.15"/>
    <row r="66" ht="14.25" customHeight="1" x14ac:dyDescent="0.15"/>
  </sheetData>
  <mergeCells count="84">
    <mergeCell ref="C48:D48"/>
    <mergeCell ref="C47:D47"/>
    <mergeCell ref="C32:C33"/>
    <mergeCell ref="D32:D33"/>
    <mergeCell ref="C44:E44"/>
    <mergeCell ref="T28:T29"/>
    <mergeCell ref="U28:U29"/>
    <mergeCell ref="T32:T33"/>
    <mergeCell ref="U32:U33"/>
    <mergeCell ref="C30:C31"/>
    <mergeCell ref="D30:D31"/>
    <mergeCell ref="T30:T31"/>
    <mergeCell ref="U30:U31"/>
    <mergeCell ref="C28:C29"/>
    <mergeCell ref="D28:D29"/>
    <mergeCell ref="C24:C25"/>
    <mergeCell ref="D24:D25"/>
    <mergeCell ref="T24:T25"/>
    <mergeCell ref="U24:U25"/>
    <mergeCell ref="C26:C27"/>
    <mergeCell ref="D26:D27"/>
    <mergeCell ref="T26:T27"/>
    <mergeCell ref="U26:U27"/>
    <mergeCell ref="C20:C21"/>
    <mergeCell ref="D20:D21"/>
    <mergeCell ref="T20:T21"/>
    <mergeCell ref="U20:U21"/>
    <mergeCell ref="C22:C23"/>
    <mergeCell ref="D22:D23"/>
    <mergeCell ref="T22:T23"/>
    <mergeCell ref="U22:U23"/>
    <mergeCell ref="C16:C17"/>
    <mergeCell ref="D16:D17"/>
    <mergeCell ref="T16:T17"/>
    <mergeCell ref="U16:U17"/>
    <mergeCell ref="C18:C19"/>
    <mergeCell ref="D18:D19"/>
    <mergeCell ref="T18:T19"/>
    <mergeCell ref="U18:U19"/>
    <mergeCell ref="C12:C13"/>
    <mergeCell ref="D12:D13"/>
    <mergeCell ref="T12:T13"/>
    <mergeCell ref="U12:U13"/>
    <mergeCell ref="C14:C15"/>
    <mergeCell ref="D14:D15"/>
    <mergeCell ref="T14:T15"/>
    <mergeCell ref="U14:U15"/>
    <mergeCell ref="C8:C9"/>
    <mergeCell ref="D8:D9"/>
    <mergeCell ref="T8:T9"/>
    <mergeCell ref="U8:U9"/>
    <mergeCell ref="C10:C11"/>
    <mergeCell ref="D10:D11"/>
    <mergeCell ref="T10:T11"/>
    <mergeCell ref="U10:U11"/>
    <mergeCell ref="C6:C7"/>
    <mergeCell ref="D6:D7"/>
    <mergeCell ref="T6:T7"/>
    <mergeCell ref="U6:U7"/>
    <mergeCell ref="C4:C5"/>
    <mergeCell ref="D4:D5"/>
    <mergeCell ref="E4:E5"/>
    <mergeCell ref="F4:Q4"/>
    <mergeCell ref="Z3:AD3"/>
    <mergeCell ref="AF10:AQ10"/>
    <mergeCell ref="AR10:BC10"/>
    <mergeCell ref="Y11:Y25"/>
    <mergeCell ref="T4:T5"/>
    <mergeCell ref="U4:U5"/>
    <mergeCell ref="T38:T39"/>
    <mergeCell ref="U38:U39"/>
    <mergeCell ref="C34:C35"/>
    <mergeCell ref="D34:D35"/>
    <mergeCell ref="C36:C37"/>
    <mergeCell ref="D36:D37"/>
    <mergeCell ref="T34:T35"/>
    <mergeCell ref="U34:U35"/>
    <mergeCell ref="T36:T37"/>
    <mergeCell ref="U36:U37"/>
    <mergeCell ref="F44:K44"/>
    <mergeCell ref="C38:C39"/>
    <mergeCell ref="D38:D39"/>
    <mergeCell ref="C40:D41"/>
    <mergeCell ref="C42:E42"/>
  </mergeCells>
  <phoneticPr fontId="2"/>
  <dataValidations count="1">
    <dataValidation type="list" allowBlank="1" showInputMessage="1" showErrorMessage="1" sqref="F44">
      <formula1>$Y$47:$Y$48</formula1>
    </dataValidation>
  </dataValidations>
  <pageMargins left="0.59055118110236227" right="0.19685039370078741" top="0.98425196850393704" bottom="0.98425196850393704" header="0" footer="0"/>
  <pageSetup paperSize="9" orientation="portrait" r:id="rId1"/>
  <headerFooter alignWithMargins="0">
    <oddFooter>&amp;R(Ver3.1)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5</vt:i4>
      </vt:variant>
    </vt:vector>
  </HeadingPairs>
  <TitlesOfParts>
    <vt:vector size="8" baseType="lpstr">
      <vt:lpstr>直圧式水理計算書</vt:lpstr>
      <vt:lpstr>器具類損失水頭計算書</vt:lpstr>
      <vt:lpstr>器具負荷単位による各区間点の使用水量算定表</vt:lpstr>
      <vt:lpstr>器具負荷単位による各区間点の使用水量算定表!Print_Area</vt:lpstr>
      <vt:lpstr>器具類損失水頭計算書!Print_Area</vt:lpstr>
      <vt:lpstr>直圧式水理計算書!Print_Area</vt:lpstr>
      <vt:lpstr>器具類損失水頭計算書!Print_Titles</vt:lpstr>
      <vt:lpstr>直圧式水理計算書!Print_Titles</vt:lpstr>
    </vt:vector>
  </TitlesOfParts>
  <Company>さいたま市水道部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8017</dc:creator>
  <cp:lastModifiedBy>鈴木</cp:lastModifiedBy>
  <cp:lastPrinted>2025-03-11T23:28:14Z</cp:lastPrinted>
  <dcterms:created xsi:type="dcterms:W3CDTF">2002-04-11T07:35:12Z</dcterms:created>
  <dcterms:modified xsi:type="dcterms:W3CDTF">2026-03-15T23:55:31Z</dcterms:modified>
</cp:coreProperties>
</file>