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1904\Desktop\新しいフォルダー\"/>
    </mc:Choice>
  </mc:AlternateContent>
  <bookViews>
    <workbookView xWindow="0" yWindow="0" windowWidth="20490" windowHeight="8790"/>
  </bookViews>
  <sheets>
    <sheet name="簡易試算シート" sheetId="1" r:id="rId1"/>
  </sheets>
  <definedNames>
    <definedName name="_xlnm.Print_Area" localSheetId="0">簡易試算シート!$A$1:$M$25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8" i="1" l="1"/>
  <c r="R9" i="1"/>
  <c r="R10" i="1"/>
  <c r="R11" i="1"/>
  <c r="R12" i="1"/>
  <c r="R13" i="1"/>
  <c r="J25" i="1" l="1"/>
  <c r="H25" i="1"/>
  <c r="F25" i="1"/>
  <c r="D25" i="1"/>
  <c r="P9" i="1" l="1"/>
  <c r="P10" i="1"/>
  <c r="P11" i="1"/>
  <c r="P12" i="1"/>
  <c r="P13" i="1"/>
  <c r="P8" i="1"/>
  <c r="P7" i="1"/>
  <c r="Q9" i="1" l="1"/>
  <c r="Q10" i="1"/>
  <c r="Q11" i="1"/>
  <c r="Q12" i="1"/>
  <c r="Q13" i="1"/>
  <c r="Q8" i="1"/>
  <c r="Q7" i="1"/>
  <c r="R7" i="1" s="1"/>
  <c r="AH24" i="1" l="1"/>
  <c r="D22" i="1" s="1"/>
  <c r="AB16" i="1"/>
  <c r="AR15" i="1"/>
  <c r="AP15" i="1"/>
  <c r="AM15" i="1"/>
  <c r="AJ15" i="1"/>
  <c r="AB15" i="1"/>
  <c r="AY13" i="1"/>
  <c r="AX13" i="1"/>
  <c r="AW13" i="1"/>
  <c r="AV13" i="1"/>
  <c r="AS13" i="1"/>
  <c r="AR13" i="1"/>
  <c r="AP13" i="1"/>
  <c r="AN13" i="1"/>
  <c r="AM13" i="1"/>
  <c r="AK13" i="1"/>
  <c r="AJ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AG13" i="1"/>
  <c r="AH13" i="1" s="1"/>
  <c r="AY12" i="1"/>
  <c r="AX12" i="1"/>
  <c r="AW12" i="1"/>
  <c r="AV12" i="1"/>
  <c r="AS12" i="1"/>
  <c r="AR12" i="1"/>
  <c r="AP12" i="1"/>
  <c r="AN12" i="1"/>
  <c r="AM12" i="1"/>
  <c r="AK12" i="1"/>
  <c r="AJ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AI12" i="1"/>
  <c r="AY11" i="1"/>
  <c r="AX11" i="1"/>
  <c r="AW11" i="1"/>
  <c r="AV11" i="1"/>
  <c r="AS11" i="1"/>
  <c r="AR11" i="1"/>
  <c r="AP11" i="1"/>
  <c r="AN11" i="1"/>
  <c r="AM11" i="1"/>
  <c r="AK11" i="1"/>
  <c r="AJ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AG11" i="1"/>
  <c r="AH11" i="1" s="1"/>
  <c r="AY10" i="1"/>
  <c r="AX10" i="1"/>
  <c r="AW10" i="1"/>
  <c r="AV10" i="1"/>
  <c r="AS10" i="1"/>
  <c r="AR10" i="1"/>
  <c r="AP10" i="1"/>
  <c r="AN10" i="1"/>
  <c r="AM10" i="1"/>
  <c r="AK10" i="1"/>
  <c r="AJ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AI10" i="1"/>
  <c r="AN9" i="1"/>
  <c r="AK9" i="1"/>
  <c r="AE9" i="1"/>
  <c r="AX9" i="1" s="1"/>
  <c r="AD9" i="1"/>
  <c r="AC9" i="1"/>
  <c r="AB9" i="1"/>
  <c r="AA9" i="1"/>
  <c r="Z9" i="1"/>
  <c r="X9" i="1"/>
  <c r="S9" i="1" s="1"/>
  <c r="AS8" i="1"/>
  <c r="AN8" i="1"/>
  <c r="AK8" i="1"/>
  <c r="AE8" i="1"/>
  <c r="AD8" i="1"/>
  <c r="AC8" i="1"/>
  <c r="AB8" i="1"/>
  <c r="AA8" i="1"/>
  <c r="Z8" i="1"/>
  <c r="X8" i="1"/>
  <c r="T8" i="1" s="1"/>
  <c r="AS7" i="1"/>
  <c r="AN7" i="1"/>
  <c r="AK7" i="1"/>
  <c r="AE7" i="1"/>
  <c r="AD7" i="1"/>
  <c r="AC7" i="1"/>
  <c r="AB7" i="1"/>
  <c r="AA7" i="1"/>
  <c r="Z7" i="1"/>
  <c r="X7" i="1"/>
  <c r="S7" i="1" s="1"/>
  <c r="AB14" i="1" l="1"/>
  <c r="Z14" i="1"/>
  <c r="AD14" i="1"/>
  <c r="Y19" i="1" s="1"/>
  <c r="AE14" i="1"/>
  <c r="AJ22" i="1" s="1"/>
  <c r="H20" i="1" s="1"/>
  <c r="AG12" i="1"/>
  <c r="AH12" i="1" s="1"/>
  <c r="AG10" i="1"/>
  <c r="AH10" i="1" s="1"/>
  <c r="AI11" i="1"/>
  <c r="AI13" i="1"/>
  <c r="AC14" i="1"/>
  <c r="U19" i="1" s="1"/>
  <c r="T9" i="1"/>
  <c r="V9" i="1" s="1"/>
  <c r="U9" i="1"/>
  <c r="Y9" i="1" s="1"/>
  <c r="AI9" i="1" s="1"/>
  <c r="AF9" i="1"/>
  <c r="AP9" i="1"/>
  <c r="R14" i="1"/>
  <c r="S8" i="1"/>
  <c r="V8" i="1" s="1"/>
  <c r="W8" i="1"/>
  <c r="AA14" i="1"/>
  <c r="AH21" i="1" s="1"/>
  <c r="D19" i="1" s="1"/>
  <c r="AK14" i="1"/>
  <c r="T7" i="1"/>
  <c r="V7" i="1" s="1"/>
  <c r="AN14" i="1"/>
  <c r="AI22" i="1"/>
  <c r="F20" i="1" s="1"/>
  <c r="AH22" i="1"/>
  <c r="D20" i="1" s="1"/>
  <c r="AB17" i="1"/>
  <c r="AK22" i="1"/>
  <c r="J20" i="1" s="1"/>
  <c r="U8" i="1" l="1"/>
  <c r="Y8" i="1" s="1"/>
  <c r="AI8" i="1" s="1"/>
  <c r="AK23" i="1"/>
  <c r="J21" i="1" s="1"/>
  <c r="U7" i="1"/>
  <c r="V19" i="1"/>
  <c r="W9" i="1"/>
  <c r="W7" i="1"/>
  <c r="X19" i="1"/>
  <c r="AG9" i="1"/>
  <c r="AH9" i="1" s="1"/>
  <c r="V14" i="1"/>
  <c r="AG8" i="1" l="1"/>
  <c r="AH8" i="1" s="1"/>
  <c r="AF8" i="1" s="1"/>
  <c r="AP8" i="1" s="1"/>
  <c r="U14" i="1"/>
  <c r="AJ8" i="1"/>
  <c r="Y7" i="1"/>
  <c r="AI7" i="1" s="1"/>
  <c r="AG7" i="1"/>
  <c r="AH7" i="1" s="1"/>
  <c r="AH16" i="1" s="1"/>
  <c r="AI20" i="1" s="1"/>
  <c r="F18" i="1" s="1"/>
  <c r="AR9" i="1"/>
  <c r="AS9" i="1" s="1"/>
  <c r="AS14" i="1" s="1"/>
  <c r="AJ9" i="1"/>
  <c r="AM9" i="1"/>
  <c r="AR8" i="1"/>
  <c r="AM8" i="1"/>
  <c r="Q19" i="1"/>
  <c r="R19" i="1"/>
  <c r="S19" i="1"/>
  <c r="AF7" i="1" l="1"/>
  <c r="AG14" i="1"/>
  <c r="AR7" i="1"/>
  <c r="AR14" i="1" s="1"/>
  <c r="AS15" i="1" s="1"/>
  <c r="AT10" i="1" s="1"/>
  <c r="AH14" i="1"/>
  <c r="AJ7" i="1"/>
  <c r="AJ14" i="1" s="1"/>
  <c r="AK15" i="1" s="1"/>
  <c r="AL12" i="1" s="1"/>
  <c r="AM7" i="1"/>
  <c r="AM14" i="1" s="1"/>
  <c r="AN15" i="1" s="1"/>
  <c r="AK20" i="1"/>
  <c r="J18" i="1" s="1"/>
  <c r="AH20" i="1"/>
  <c r="D18" i="1" s="1"/>
  <c r="Y14" i="1"/>
  <c r="AI14" i="1"/>
  <c r="AH25" i="1" s="1"/>
  <c r="D23" i="1" s="1"/>
  <c r="AP7" i="1"/>
  <c r="AP14" i="1" s="1"/>
  <c r="AF14" i="1"/>
  <c r="AJ20" i="1" s="1"/>
  <c r="AK25" i="1" l="1"/>
  <c r="J23" i="1" s="1"/>
  <c r="AV4" i="1"/>
  <c r="AW8" i="1" s="1"/>
  <c r="AO13" i="1"/>
  <c r="AO8" i="1"/>
  <c r="AO9" i="1"/>
  <c r="AO11" i="1"/>
  <c r="AI25" i="1"/>
  <c r="F23" i="1" s="1"/>
  <c r="AO10" i="1"/>
  <c r="AO7" i="1"/>
  <c r="AJ25" i="1"/>
  <c r="H23" i="1" s="1"/>
  <c r="AO12" i="1"/>
  <c r="L15" i="1"/>
  <c r="AL10" i="1"/>
  <c r="AL13" i="1"/>
  <c r="AL11" i="1"/>
  <c r="AT7" i="1"/>
  <c r="AL7" i="1"/>
  <c r="AL9" i="1"/>
  <c r="AT9" i="1"/>
  <c r="AL8" i="1"/>
  <c r="AT12" i="1"/>
  <c r="AH26" i="1"/>
  <c r="D24" i="1" s="1"/>
  <c r="AT11" i="1"/>
  <c r="AT8" i="1"/>
  <c r="AY9" i="1"/>
  <c r="AV9" i="1"/>
  <c r="AT13" i="1"/>
  <c r="AY8" i="1"/>
  <c r="AK26" i="1"/>
  <c r="J24" i="1" s="1"/>
  <c r="AV7" i="1"/>
  <c r="AX7" i="1"/>
  <c r="H18" i="1"/>
  <c r="AQ12" i="1"/>
  <c r="AQ10" i="1"/>
  <c r="AQ8" i="1"/>
  <c r="AQ9" i="1"/>
  <c r="AQ7" i="1"/>
  <c r="AQ13" i="1"/>
  <c r="AQ11" i="1"/>
  <c r="AY7" i="1" l="1"/>
  <c r="AX8" i="1"/>
  <c r="AX14" i="1" s="1"/>
  <c r="AX15" i="1" s="1"/>
  <c r="AW9" i="1"/>
  <c r="AW7" i="1"/>
  <c r="AI26" i="1"/>
  <c r="F24" i="1" s="1"/>
  <c r="AV8" i="1"/>
  <c r="AV14" i="1" s="1"/>
  <c r="AV15" i="1" s="1"/>
  <c r="AO14" i="1"/>
  <c r="AO15" i="1" s="1"/>
  <c r="AU10" i="1"/>
  <c r="AZ10" i="1" s="1"/>
  <c r="AJ26" i="1"/>
  <c r="H24" i="1" s="1"/>
  <c r="AU11" i="1"/>
  <c r="AZ11" i="1" s="1"/>
  <c r="AU12" i="1"/>
  <c r="AZ12" i="1" s="1"/>
  <c r="AT14" i="1"/>
  <c r="AT15" i="1" s="1"/>
  <c r="AU8" i="1"/>
  <c r="AU13" i="1"/>
  <c r="AZ13" i="1" s="1"/>
  <c r="AL14" i="1"/>
  <c r="AL15" i="1" s="1"/>
  <c r="AU9" i="1"/>
  <c r="AY14" i="1"/>
  <c r="AY15" i="1" s="1"/>
  <c r="AQ14" i="1"/>
  <c r="AQ15" i="1" s="1"/>
  <c r="AU7" i="1"/>
  <c r="AZ9" i="1" l="1"/>
  <c r="AW14" i="1"/>
  <c r="AW15" i="1" s="1"/>
  <c r="AZ8" i="1"/>
  <c r="AH27" i="1"/>
  <c r="A15" i="1" s="1"/>
  <c r="G15" i="1" s="1"/>
  <c r="AU14" i="1"/>
  <c r="AZ7" i="1"/>
  <c r="AZ14" i="1" l="1"/>
</calcChain>
</file>

<file path=xl/sharedStrings.xml><?xml version="1.0" encoding="utf-8"?>
<sst xmlns="http://schemas.openxmlformats.org/spreadsheetml/2006/main" count="214" uniqueCount="111">
  <si>
    <t>世帯員１</t>
    <rPh sb="0" eb="3">
      <t>セタイイン</t>
    </rPh>
    <phoneticPr fontId="1"/>
  </si>
  <si>
    <t>千円未満を第１期に合計。２期～８期は千円未満切り捨て</t>
    <rPh sb="0" eb="2">
      <t>センエン</t>
    </rPh>
    <rPh sb="2" eb="4">
      <t>ミマン</t>
    </rPh>
    <rPh sb="5" eb="6">
      <t>ダイ</t>
    </rPh>
    <rPh sb="7" eb="8">
      <t>キ</t>
    </rPh>
    <rPh sb="9" eb="11">
      <t>ゴウケイ</t>
    </rPh>
    <rPh sb="13" eb="14">
      <t>キ</t>
    </rPh>
    <rPh sb="16" eb="17">
      <t>キ</t>
    </rPh>
    <rPh sb="18" eb="20">
      <t>センエン</t>
    </rPh>
    <rPh sb="20" eb="22">
      <t>ミマン</t>
    </rPh>
    <rPh sb="22" eb="23">
      <t>キ</t>
    </rPh>
    <rPh sb="24" eb="25">
      <t>ス</t>
    </rPh>
    <phoneticPr fontId="14"/>
  </si>
  <si>
    <t>注意事項　※必ずお読みください</t>
    <rPh sb="0" eb="4">
      <t>チュウイジコウ</t>
    </rPh>
    <rPh sb="6" eb="7">
      <t>カナラ</t>
    </rPh>
    <rPh sb="9" eb="10">
      <t>ヨ</t>
    </rPh>
    <phoneticPr fontId="1"/>
  </si>
  <si>
    <t>加入者</t>
    <rPh sb="0" eb="3">
      <t>カニュウシャ</t>
    </rPh>
    <phoneticPr fontId="1"/>
  </si>
  <si>
    <t>世帯主</t>
    <rPh sb="0" eb="3">
      <t>セタイヌシ</t>
    </rPh>
    <phoneticPr fontId="1"/>
  </si>
  <si>
    <t>世帯員５</t>
    <rPh sb="0" eb="3">
      <t>セタイイン</t>
    </rPh>
    <phoneticPr fontId="1"/>
  </si>
  <si>
    <t>計算領域</t>
    <rPh sb="0" eb="2">
      <t>ケイサン</t>
    </rPh>
    <rPh sb="2" eb="4">
      <t>リョウイキ</t>
    </rPh>
    <phoneticPr fontId="14"/>
  </si>
  <si>
    <t>世帯員２</t>
    <rPh sb="0" eb="3">
      <t>セタイイン</t>
    </rPh>
    <phoneticPr fontId="1"/>
  </si>
  <si>
    <t>(内訳)</t>
    <rPh sb="1" eb="3">
      <t>ウチワケ</t>
    </rPh>
    <phoneticPr fontId="1"/>
  </si>
  <si>
    <t>世帯員３</t>
    <rPh sb="0" eb="3">
      <t>セタイイン</t>
    </rPh>
    <phoneticPr fontId="1"/>
  </si>
  <si>
    <t>年金収入</t>
    <rPh sb="0" eb="4">
      <t>ネンキンシュウニュウ</t>
    </rPh>
    <phoneticPr fontId="1"/>
  </si>
  <si>
    <t>世帯員４</t>
    <rPh sb="0" eb="3">
      <t>セタイイン</t>
    </rPh>
    <phoneticPr fontId="1"/>
  </si>
  <si>
    <t>固定資産税額</t>
    <rPh sb="0" eb="6">
      <t>コテイシサンゼイガク</t>
    </rPh>
    <phoneticPr fontId="1"/>
  </si>
  <si>
    <t>未就学児</t>
    <rPh sb="0" eb="4">
      <t>ミシュウガクジ</t>
    </rPh>
    <phoneticPr fontId="1"/>
  </si>
  <si>
    <t>入力▼</t>
    <rPh sb="0" eb="2">
      <t>ニュウリョク</t>
    </rPh>
    <phoneticPr fontId="1"/>
  </si>
  <si>
    <t>世帯員６</t>
    <rPh sb="0" eb="3">
      <t>セタイイン</t>
    </rPh>
    <phoneticPr fontId="1"/>
  </si>
  <si>
    <t>年齢</t>
    <rPh sb="0" eb="2">
      <t>ネンレイ</t>
    </rPh>
    <phoneticPr fontId="1"/>
  </si>
  <si>
    <t>１期</t>
    <rPh sb="1" eb="2">
      <t>キ</t>
    </rPh>
    <phoneticPr fontId="14"/>
  </si>
  <si>
    <t>７割軽減
基準額</t>
    <rPh sb="1" eb="2">
      <t>ワリ</t>
    </rPh>
    <rPh sb="2" eb="4">
      <t>ケイゲン</t>
    </rPh>
    <rPh sb="5" eb="7">
      <t>キジュン</t>
    </rPh>
    <rPh sb="7" eb="8">
      <t>ガク</t>
    </rPh>
    <phoneticPr fontId="14"/>
  </si>
  <si>
    <t>円</t>
    <rPh sb="0" eb="1">
      <t>エン</t>
    </rPh>
    <phoneticPr fontId="1"/>
  </si>
  <si>
    <t>合計所得</t>
    <rPh sb="0" eb="2">
      <t>ゴウケイ</t>
    </rPh>
    <rPh sb="2" eb="4">
      <t>ショトク</t>
    </rPh>
    <phoneticPr fontId="14"/>
  </si>
  <si>
    <t>後期高齢者支援金等分</t>
    <rPh sb="0" eb="5">
      <t>コウキコウレイシャ</t>
    </rPh>
    <rPh sb="5" eb="8">
      <t>シエンキン</t>
    </rPh>
    <rPh sb="8" eb="9">
      <t>トウ</t>
    </rPh>
    <rPh sb="9" eb="10">
      <t>ブン</t>
    </rPh>
    <phoneticPr fontId="1"/>
  </si>
  <si>
    <t>給与収入</t>
    <rPh sb="0" eb="4">
      <t>キュウヨシュウニュウ</t>
    </rPh>
    <phoneticPr fontId="1"/>
  </si>
  <si>
    <t>給与か年金どちらかもしくは両方所得がある方</t>
    <rPh sb="0" eb="2">
      <t>キュウヨ</t>
    </rPh>
    <rPh sb="3" eb="5">
      <t>ネンキン</t>
    </rPh>
    <rPh sb="13" eb="15">
      <t>リョウホウ</t>
    </rPh>
    <rPh sb="15" eb="17">
      <t>ショトク</t>
    </rPh>
    <rPh sb="20" eb="21">
      <t>カタ</t>
    </rPh>
    <phoneticPr fontId="14"/>
  </si>
  <si>
    <t>後期高齢者支援金等分</t>
    <rPh sb="0" eb="5">
      <t>コウキコウレイシャ</t>
    </rPh>
    <rPh sb="5" eb="7">
      <t>シエン</t>
    </rPh>
    <rPh sb="7" eb="8">
      <t>キン</t>
    </rPh>
    <rPh sb="8" eb="9">
      <t>トウ</t>
    </rPh>
    <rPh sb="9" eb="10">
      <t>ブン</t>
    </rPh>
    <phoneticPr fontId="1"/>
  </si>
  <si>
    <t>平等割額</t>
    <rPh sb="0" eb="4">
      <t>ビョウドウワリガク</t>
    </rPh>
    <phoneticPr fontId="1"/>
  </si>
  <si>
    <t>その他の所得</t>
    <rPh sb="2" eb="3">
      <t>タ</t>
    </rPh>
    <rPh sb="4" eb="6">
      <t>ショトク</t>
    </rPh>
    <phoneticPr fontId="1"/>
  </si>
  <si>
    <t>朝霞市国民健康保険税　簡易試算シート</t>
  </si>
  <si>
    <t>↓65歳以上の方の年金の軽減判定所得は年金所得からマイナス15万円されます</t>
  </si>
  <si>
    <t>65歳未満の年金所得</t>
    <rPh sb="2" eb="5">
      <t>サイミマン</t>
    </rPh>
    <rPh sb="6" eb="8">
      <t>ネンキン</t>
    </rPh>
    <rPh sb="8" eb="10">
      <t>ショトク</t>
    </rPh>
    <phoneticPr fontId="14"/>
  </si>
  <si>
    <t>擬制世帯主＋被保険者数合計</t>
    <rPh sb="0" eb="2">
      <t>ギセイ</t>
    </rPh>
    <rPh sb="2" eb="5">
      <t>セタイヌシ</t>
    </rPh>
    <rPh sb="6" eb="10">
      <t>ヒホケンシャ</t>
    </rPh>
    <rPh sb="10" eb="11">
      <t>スウ</t>
    </rPh>
    <rPh sb="11" eb="13">
      <t>ゴウケイ</t>
    </rPh>
    <phoneticPr fontId="14"/>
  </si>
  <si>
    <t>↓所得金額調整控除判定用</t>
    <rPh sb="1" eb="3">
      <t>ショトク</t>
    </rPh>
    <rPh sb="3" eb="5">
      <t>キンガク</t>
    </rPh>
    <rPh sb="5" eb="7">
      <t>チョウセイ</t>
    </rPh>
    <rPh sb="7" eb="9">
      <t>コウジョ</t>
    </rPh>
    <rPh sb="9" eb="11">
      <t>ハンテイ</t>
    </rPh>
    <rPh sb="11" eb="12">
      <t>ヨウ</t>
    </rPh>
    <phoneticPr fontId="14"/>
  </si>
  <si>
    <t>18歳以下</t>
    <rPh sb="2" eb="5">
      <t>サイイカ</t>
    </rPh>
    <phoneticPr fontId="1"/>
  </si>
  <si>
    <t>選択▼</t>
    <rPh sb="0" eb="2">
      <t>センタク</t>
    </rPh>
    <phoneticPr fontId="1"/>
  </si>
  <si>
    <t>医療保険分
(加入者全員)</t>
    <rPh sb="0" eb="5">
      <t>イリョウホケンブン</t>
    </rPh>
    <rPh sb="7" eb="12">
      <t>カニュウシャゼンイン</t>
    </rPh>
    <phoneticPr fontId="1"/>
  </si>
  <si>
    <t>３期</t>
    <rPh sb="1" eb="2">
      <t>キ</t>
    </rPh>
    <phoneticPr fontId="14"/>
  </si>
  <si>
    <t>介護人数</t>
    <rPh sb="0" eb="2">
      <t>カイゴ</t>
    </rPh>
    <rPh sb="2" eb="4">
      <t>ニンズウ</t>
    </rPh>
    <phoneticPr fontId="14"/>
  </si>
  <si>
    <t>後期高齢者支援金等分(加入者全員)</t>
    <rPh sb="0" eb="2">
      <t>コウキ</t>
    </rPh>
    <rPh sb="2" eb="5">
      <t>コウレイシャ</t>
    </rPh>
    <rPh sb="5" eb="7">
      <t>シエン</t>
    </rPh>
    <rPh sb="7" eb="8">
      <t>キン</t>
    </rPh>
    <rPh sb="8" eb="9">
      <t>トウ</t>
    </rPh>
    <rPh sb="9" eb="10">
      <t>ブン</t>
    </rPh>
    <rPh sb="11" eb="16">
      <t>カニュウシャゼンイン</t>
    </rPh>
    <phoneticPr fontId="1"/>
  </si>
  <si>
    <t>所得割額</t>
    <rPh sb="0" eb="4">
      <t>ショトクワリガク</t>
    </rPh>
    <phoneticPr fontId="1"/>
  </si>
  <si>
    <t>資産割額</t>
    <rPh sb="0" eb="4">
      <t>シサンワリガク</t>
    </rPh>
    <phoneticPr fontId="1"/>
  </si>
  <si>
    <t>被保人数</t>
    <rPh sb="0" eb="1">
      <t>ヒ</t>
    </rPh>
    <rPh sb="1" eb="2">
      <t>ホ</t>
    </rPh>
    <rPh sb="2" eb="4">
      <t>ニンズウ</t>
    </rPh>
    <phoneticPr fontId="14"/>
  </si>
  <si>
    <t>均等割額</t>
    <rPh sb="0" eb="4">
      <t>キントウワリガク</t>
    </rPh>
    <phoneticPr fontId="1"/>
  </si>
  <si>
    <t>合計</t>
    <rPh sb="0" eb="2">
      <t>ゴウケイ</t>
    </rPh>
    <phoneticPr fontId="1"/>
  </si>
  <si>
    <t>区分</t>
    <rPh sb="0" eb="2">
      <t>クブン</t>
    </rPh>
    <phoneticPr fontId="1"/>
  </si>
  <si>
    <t>軽減額</t>
    <rPh sb="0" eb="3">
      <t>ケイゲンガク</t>
    </rPh>
    <phoneticPr fontId="1"/>
  </si>
  <si>
    <t>↓軽減判定　給与所得者等人数判定用</t>
    <rPh sb="1" eb="3">
      <t>ケイゲン</t>
    </rPh>
    <rPh sb="3" eb="5">
      <t>ハンテイ</t>
    </rPh>
    <rPh sb="6" eb="8">
      <t>キュウヨ</t>
    </rPh>
    <rPh sb="8" eb="10">
      <t>ショトク</t>
    </rPh>
    <rPh sb="10" eb="11">
      <t>シャ</t>
    </rPh>
    <rPh sb="11" eb="12">
      <t>トウ</t>
    </rPh>
    <rPh sb="12" eb="14">
      <t>ニンズウ</t>
    </rPh>
    <rPh sb="14" eb="16">
      <t>ハンテイ</t>
    </rPh>
    <rPh sb="16" eb="17">
      <t>ヨウ</t>
    </rPh>
    <phoneticPr fontId="14"/>
  </si>
  <si>
    <t>年金所得</t>
    <rPh sb="0" eb="2">
      <t>ネンキン</t>
    </rPh>
    <rPh sb="2" eb="4">
      <t>ショトク</t>
    </rPh>
    <phoneticPr fontId="1"/>
  </si>
  <si>
    <t>65歳以上の年金所得</t>
    <rPh sb="2" eb="5">
      <t>サイイジョウ</t>
    </rPh>
    <rPh sb="6" eb="8">
      <t>ネンキン</t>
    </rPh>
    <rPh sb="8" eb="10">
      <t>ショトク</t>
    </rPh>
    <phoneticPr fontId="14"/>
  </si>
  <si>
    <t>給与と年金両方の所得がある方</t>
    <rPh sb="0" eb="2">
      <t>キュウヨ</t>
    </rPh>
    <rPh sb="3" eb="5">
      <t>ネンキン</t>
    </rPh>
    <rPh sb="5" eb="7">
      <t>リョウホウ</t>
    </rPh>
    <rPh sb="8" eb="10">
      <t>ショトク</t>
    </rPh>
    <rPh sb="13" eb="14">
      <t>カタ</t>
    </rPh>
    <phoneticPr fontId="14"/>
  </si>
  <si>
    <t>６５歳以上判定</t>
    <rPh sb="2" eb="5">
      <t>サイイジョウ</t>
    </rPh>
    <rPh sb="5" eb="7">
      <t>ハンテイ</t>
    </rPh>
    <phoneticPr fontId="14"/>
  </si>
  <si>
    <t>年金の軽減所得判定</t>
    <rPh sb="0" eb="2">
      <t>ネンキン</t>
    </rPh>
    <rPh sb="3" eb="5">
      <t>ケイゲン</t>
    </rPh>
    <rPh sb="5" eb="7">
      <t>ショトク</t>
    </rPh>
    <rPh sb="7" eb="9">
      <t>ハンテイ</t>
    </rPh>
    <phoneticPr fontId="14"/>
  </si>
  <si>
    <t>５割軽減
基準額</t>
    <rPh sb="1" eb="2">
      <t>ワリ</t>
    </rPh>
    <rPh sb="2" eb="4">
      <t>ケイゲン</t>
    </rPh>
    <rPh sb="5" eb="7">
      <t>キジュン</t>
    </rPh>
    <rPh sb="7" eb="8">
      <t>ガク</t>
    </rPh>
    <phoneticPr fontId="14"/>
  </si>
  <si>
    <t>介護の算定基礎</t>
    <rPh sb="0" eb="2">
      <t>カイゴ</t>
    </rPh>
    <rPh sb="3" eb="5">
      <t>サンテイ</t>
    </rPh>
    <rPh sb="5" eb="7">
      <t>キソ</t>
    </rPh>
    <phoneticPr fontId="14"/>
  </si>
  <si>
    <t>算定基礎額</t>
    <rPh sb="0" eb="2">
      <t>サンテイ</t>
    </rPh>
    <rPh sb="2" eb="4">
      <t>キソ</t>
    </rPh>
    <rPh sb="4" eb="5">
      <t>ガク</t>
    </rPh>
    <phoneticPr fontId="14"/>
  </si>
  <si>
    <t>６５歳以上の擬制世帯主</t>
    <rPh sb="2" eb="5">
      <t>サイイジョウ</t>
    </rPh>
    <rPh sb="6" eb="8">
      <t>ギセイ</t>
    </rPh>
    <rPh sb="8" eb="11">
      <t>セタイヌシ</t>
    </rPh>
    <phoneticPr fontId="14"/>
  </si>
  <si>
    <t>６５歳未満の擬制世帯主</t>
    <rPh sb="2" eb="5">
      <t>サイミマン</t>
    </rPh>
    <rPh sb="6" eb="8">
      <t>ギセイ</t>
    </rPh>
    <rPh sb="8" eb="11">
      <t>セタイヌシ</t>
    </rPh>
    <phoneticPr fontId="14"/>
  </si>
  <si>
    <t>２割軽減
基準額</t>
    <rPh sb="1" eb="2">
      <t>ワリ</t>
    </rPh>
    <rPh sb="2" eb="4">
      <t>ケイゲン</t>
    </rPh>
    <rPh sb="5" eb="7">
      <t>キジュン</t>
    </rPh>
    <rPh sb="7" eb="8">
      <t>ガク</t>
    </rPh>
    <phoneticPr fontId="14"/>
  </si>
  <si>
    <t>●加入者の年齢、収入、固定資産税額(朝霞市内)を記入してください(年齢を選択しないと計算されません)。</t>
    <rPh sb="1" eb="4">
      <t>カニュウシャ</t>
    </rPh>
    <rPh sb="5" eb="7">
      <t>ネンレイ</t>
    </rPh>
    <rPh sb="8" eb="10">
      <t>シュウニュウ</t>
    </rPh>
    <rPh sb="11" eb="17">
      <t>コテイシサンゼイガク</t>
    </rPh>
    <rPh sb="18" eb="22">
      <t>アサカシナイ</t>
    </rPh>
    <rPh sb="24" eb="26">
      <t>キニュウ</t>
    </rPh>
    <rPh sb="33" eb="35">
      <t>ネンレイ</t>
    </rPh>
    <rPh sb="36" eb="38">
      <t>センタク</t>
    </rPh>
    <rPh sb="42" eb="44">
      <t>ケイサン</t>
    </rPh>
    <phoneticPr fontId="1"/>
  </si>
  <si>
    <t>２期</t>
    <rPh sb="1" eb="2">
      <t>キ</t>
    </rPh>
    <phoneticPr fontId="14"/>
  </si>
  <si>
    <t>４期</t>
    <rPh sb="1" eb="2">
      <t>キ</t>
    </rPh>
    <phoneticPr fontId="14"/>
  </si>
  <si>
    <t>５期</t>
    <rPh sb="1" eb="2">
      <t>キ</t>
    </rPh>
    <phoneticPr fontId="14"/>
  </si>
  <si>
    <t>６期</t>
    <rPh sb="1" eb="2">
      <t>キ</t>
    </rPh>
    <phoneticPr fontId="14"/>
  </si>
  <si>
    <t>介護保険分</t>
    <rPh sb="0" eb="5">
      <t>カイゴホケンブン</t>
    </rPh>
    <phoneticPr fontId="1"/>
  </si>
  <si>
    <t>７期</t>
    <rPh sb="1" eb="2">
      <t>キ</t>
    </rPh>
    <phoneticPr fontId="14"/>
  </si>
  <si>
    <t>８期</t>
    <rPh sb="1" eb="2">
      <t>キ</t>
    </rPh>
    <phoneticPr fontId="14"/>
  </si>
  <si>
    <t>年税額／８</t>
    <rPh sb="0" eb="3">
      <t>ネンゼイガク</t>
    </rPh>
    <phoneticPr fontId="14"/>
  </si>
  <si>
    <t>第１期＋第２期～第８期の(a)と(b)</t>
    <rPh sb="0" eb="1">
      <t>ダイ</t>
    </rPh>
    <rPh sb="2" eb="3">
      <t>キ</t>
    </rPh>
    <rPh sb="4" eb="5">
      <t>ダイ</t>
    </rPh>
    <rPh sb="6" eb="7">
      <t>キ</t>
    </rPh>
    <rPh sb="8" eb="9">
      <t>ダイ</t>
    </rPh>
    <rPh sb="10" eb="11">
      <t>キ</t>
    </rPh>
    <phoneticPr fontId="14"/>
  </si>
  <si>
    <t>介護保険分(40～65歳未満の加入者)</t>
    <rPh sb="0" eb="2">
      <t>カイゴ</t>
    </rPh>
    <rPh sb="2" eb="4">
      <t>ホケン</t>
    </rPh>
    <rPh sb="4" eb="5">
      <t>ブン</t>
    </rPh>
    <rPh sb="11" eb="14">
      <t>サイミマン</t>
    </rPh>
    <rPh sb="15" eb="18">
      <t>カニュウシャ</t>
    </rPh>
    <phoneticPr fontId="1"/>
  </si>
  <si>
    <t>給与所得</t>
    <rPh sb="0" eb="4">
      <t>キュウヨショトク</t>
    </rPh>
    <phoneticPr fontId="1"/>
  </si>
  <si>
    <t>65歳以上判定</t>
    <rPh sb="2" eb="5">
      <t>サイイジョウ</t>
    </rPh>
    <rPh sb="5" eb="7">
      <t>ハンテイ</t>
    </rPh>
    <phoneticPr fontId="14"/>
  </si>
  <si>
    <t>未就学児</t>
    <rPh sb="0" eb="4">
      <t>ミシュウガクジ</t>
    </rPh>
    <phoneticPr fontId="14"/>
  </si>
  <si>
    <t>未就学児軽減</t>
    <rPh sb="0" eb="4">
      <t>ミシュウガクジ</t>
    </rPh>
    <rPh sb="4" eb="6">
      <t>ケイゲン</t>
    </rPh>
    <phoneticPr fontId="1"/>
  </si>
  <si>
    <t>軽減判定所得額合計</t>
    <rPh sb="0" eb="4">
      <t>ケイゲンハンテイ</t>
    </rPh>
    <rPh sb="4" eb="7">
      <t>ショトクガク</t>
    </rPh>
    <rPh sb="7" eb="9">
      <t>ゴウケイ</t>
    </rPh>
    <phoneticPr fontId="14"/>
  </si>
  <si>
    <t>医療保険分</t>
    <rPh sb="0" eb="5">
      <t>イリョウホケンブン</t>
    </rPh>
    <phoneticPr fontId="1"/>
  </si>
  <si>
    <t>後期高齢者支援金当分</t>
    <rPh sb="0" eb="5">
      <t>コウキコウレイシャ</t>
    </rPh>
    <rPh sb="5" eb="8">
      <t>シエンキン</t>
    </rPh>
    <rPh sb="8" eb="10">
      <t>トウブン</t>
    </rPh>
    <phoneticPr fontId="1"/>
  </si>
  <si>
    <t>税率</t>
    <rPh sb="0" eb="2">
      <t>ゼイリツ</t>
    </rPh>
    <phoneticPr fontId="1"/>
  </si>
  <si>
    <t>後期高齢者支援金当分</t>
    <rPh sb="0" eb="5">
      <t>コウキコウレイシャ</t>
    </rPh>
    <rPh sb="5" eb="10">
      <t>シエンキントウブン</t>
    </rPh>
    <phoneticPr fontId="1"/>
  </si>
  <si>
    <t>限度額</t>
    <rPh sb="0" eb="3">
      <t>ゲンドガク</t>
    </rPh>
    <phoneticPr fontId="1"/>
  </si>
  <si>
    <t>R7</t>
  </si>
  <si>
    <t>擬主or世帯主別 算定基礎合計額</t>
    <rPh sb="0" eb="1">
      <t>ギ</t>
    </rPh>
    <rPh sb="1" eb="2">
      <t>ヌシ</t>
    </rPh>
    <rPh sb="4" eb="7">
      <t>セタイヌシ</t>
    </rPh>
    <rPh sb="7" eb="8">
      <t>ベツ</t>
    </rPh>
    <rPh sb="9" eb="16">
      <t>サンテイキソゴウケイガク</t>
    </rPh>
    <phoneticPr fontId="1"/>
  </si>
  <si>
    <t>介護の算定基礎合計額</t>
    <rPh sb="0" eb="2">
      <t>カイゴ</t>
    </rPh>
    <rPh sb="3" eb="5">
      <t>サンテイ</t>
    </rPh>
    <rPh sb="5" eb="7">
      <t>キソ</t>
    </rPh>
    <rPh sb="7" eb="10">
      <t>ゴウケイガク</t>
    </rPh>
    <phoneticPr fontId="14"/>
  </si>
  <si>
    <t>軽減</t>
    <rPh sb="0" eb="2">
      <t>ケイゲン</t>
    </rPh>
    <phoneticPr fontId="1"/>
  </si>
  <si>
    <t>(賦課限度額)</t>
    <rPh sb="1" eb="3">
      <t>フカ</t>
    </rPh>
    <rPh sb="3" eb="6">
      <t>ゲンドガク</t>
    </rPh>
    <phoneticPr fontId="1"/>
  </si>
  <si>
    <t>うち未就学児</t>
    <rPh sb="2" eb="6">
      <t>ミシュウガクジ</t>
    </rPh>
    <phoneticPr fontId="1"/>
  </si>
  <si>
    <t>元計算</t>
    <rPh sb="0" eb="1">
      <t>ゲン</t>
    </rPh>
    <rPh sb="1" eb="3">
      <t>ケイサン</t>
    </rPh>
    <phoneticPr fontId="1"/>
  </si>
  <si>
    <t>介護支援金分(40～65歳未満の加入者)</t>
    <rPh sb="0" eb="2">
      <t>カイゴ</t>
    </rPh>
    <rPh sb="2" eb="4">
      <t>シエン</t>
    </rPh>
    <rPh sb="4" eb="5">
      <t>キン</t>
    </rPh>
    <rPh sb="5" eb="6">
      <t>ブン</t>
    </rPh>
    <rPh sb="12" eb="15">
      <t>サイミマン</t>
    </rPh>
    <rPh sb="16" eb="19">
      <t>カニュウシャ</t>
    </rPh>
    <phoneticPr fontId="1"/>
  </si>
  <si>
    <t>介護支援金分</t>
    <rPh sb="0" eb="6">
      <t>カイゴシエンキンブン</t>
    </rPh>
    <phoneticPr fontId="1"/>
  </si>
  <si>
    <t>元計算</t>
    <rPh sb="0" eb="3">
      <t>モトケイサン</t>
    </rPh>
    <phoneticPr fontId="1"/>
  </si>
  <si>
    <t>限度額適用</t>
    <rPh sb="0" eb="3">
      <t>ゲンドガク</t>
    </rPh>
    <rPh sb="3" eb="5">
      <t>テキヨウ</t>
    </rPh>
    <phoneticPr fontId="1"/>
  </si>
  <si>
    <t>医療保険分</t>
  </si>
  <si>
    <t>❶国民健康保険税試算額(年税額)</t>
    <rPh sb="1" eb="8">
      <t>コクミンケンコウホケンゼイ</t>
    </rPh>
    <rPh sb="8" eb="11">
      <t>シサンガク</t>
    </rPh>
    <rPh sb="12" eb="15">
      <t>ネンゼイガク</t>
    </rPh>
    <phoneticPr fontId="1"/>
  </si>
  <si>
    <t>❷参考(1か月当たり)</t>
    <rPh sb="1" eb="3">
      <t>サンコウ</t>
    </rPh>
    <rPh sb="6" eb="7">
      <t>ツキ</t>
    </rPh>
    <rPh sb="7" eb="8">
      <t>ア</t>
    </rPh>
    <phoneticPr fontId="1"/>
  </si>
  <si>
    <t>❸軽減判定</t>
  </si>
  <si>
    <t>合計額</t>
    <rPh sb="0" eb="3">
      <t>ゴウケイガク</t>
    </rPh>
    <phoneticPr fontId="1"/>
  </si>
  <si>
    <t>令和８年度</t>
    <rPh sb="0" eb="2">
      <t>レイワ</t>
    </rPh>
    <rPh sb="3" eb="5">
      <t>ネンド</t>
    </rPh>
    <phoneticPr fontId="1"/>
  </si>
  <si>
    <t>令和7年(1～12月)の収入</t>
    <rPh sb="0" eb="2">
      <t>レイワ</t>
    </rPh>
    <rPh sb="3" eb="4">
      <t>ネン</t>
    </rPh>
    <rPh sb="9" eb="10">
      <t>ツキ</t>
    </rPh>
    <rPh sb="12" eb="14">
      <t>シュウニュウ</t>
    </rPh>
    <phoneticPr fontId="1"/>
  </si>
  <si>
    <t>子ども・子育て支援金分</t>
    <rPh sb="0" eb="1">
      <t>コ</t>
    </rPh>
    <rPh sb="4" eb="6">
      <t>コソダ</t>
    </rPh>
    <rPh sb="7" eb="11">
      <t>シエンキンブン</t>
    </rPh>
    <phoneticPr fontId="1"/>
  </si>
  <si>
    <t>18歳以上均等割額</t>
    <rPh sb="2" eb="5">
      <t>サイイジョウ</t>
    </rPh>
    <rPh sb="5" eb="9">
      <t>キントウワリガク</t>
    </rPh>
    <phoneticPr fontId="1"/>
  </si>
  <si>
    <t>18歳以下
(未就学児除く)</t>
    <rPh sb="2" eb="5">
      <t>サイイカ</t>
    </rPh>
    <rPh sb="7" eb="11">
      <t>ミシュウガクジ</t>
    </rPh>
    <rPh sb="11" eb="12">
      <t>ノゾ</t>
    </rPh>
    <phoneticPr fontId="14"/>
  </si>
  <si>
    <t>子ども・子育て支援金等分(19歳以上の加入者)</t>
  </si>
  <si>
    <t>子ども・子育て支援金分軽減</t>
    <rPh sb="0" eb="1">
      <t>コ</t>
    </rPh>
    <rPh sb="4" eb="6">
      <t>コソダ</t>
    </rPh>
    <rPh sb="7" eb="10">
      <t>シエンキン</t>
    </rPh>
    <rPh sb="10" eb="11">
      <t>ブン</t>
    </rPh>
    <rPh sb="11" eb="13">
      <t>ケイゲン</t>
    </rPh>
    <phoneticPr fontId="1"/>
  </si>
  <si>
    <t>子ども分</t>
    <rPh sb="0" eb="1">
      <t>コ</t>
    </rPh>
    <rPh sb="3" eb="4">
      <t>ブン</t>
    </rPh>
    <phoneticPr fontId="1"/>
  </si>
  <si>
    <t>【問合せ】</t>
  </si>
  <si>
    <t>給与か年金どちらかもしくは両方所得がある人</t>
    <rPh sb="0" eb="2">
      <t>キュウヨ</t>
    </rPh>
    <rPh sb="3" eb="5">
      <t>ネンキン</t>
    </rPh>
    <rPh sb="13" eb="15">
      <t>リョウホウ</t>
    </rPh>
    <rPh sb="15" eb="17">
      <t>ショトク</t>
    </rPh>
    <rPh sb="20" eb="21">
      <t>ヒト</t>
    </rPh>
    <phoneticPr fontId="14"/>
  </si>
  <si>
    <t>給与と年金両方の所得がある人</t>
    <rPh sb="0" eb="2">
      <t>キュウヨ</t>
    </rPh>
    <rPh sb="3" eb="5">
      <t>ネンキン</t>
    </rPh>
    <rPh sb="5" eb="7">
      <t>リョウホウ</t>
    </rPh>
    <rPh sb="8" eb="10">
      <t>ショトク</t>
    </rPh>
    <rPh sb="13" eb="14">
      <t>ヒト</t>
    </rPh>
    <phoneticPr fontId="14"/>
  </si>
  <si>
    <t>うち18歳以下
(未就学児含む)</t>
    <rPh sb="4" eb="7">
      <t>サイイカ</t>
    </rPh>
    <rPh sb="9" eb="13">
      <t>ミシュウガクジ</t>
    </rPh>
    <rPh sb="13" eb="14">
      <t>フク</t>
    </rPh>
    <phoneticPr fontId="1"/>
  </si>
  <si>
    <t>子ども・子育て支援金等分(18歳以上の加入者)</t>
    <rPh sb="0" eb="1">
      <t>コ</t>
    </rPh>
    <rPh sb="4" eb="6">
      <t>コソダ</t>
    </rPh>
    <rPh sb="7" eb="12">
      <t>シエンキントウブン</t>
    </rPh>
    <rPh sb="15" eb="18">
      <t>サイイジョウ</t>
    </rPh>
    <rPh sb="19" eb="22">
      <t>カニュウシャ</t>
    </rPh>
    <phoneticPr fontId="1"/>
  </si>
  <si>
    <r>
      <t>・</t>
    </r>
    <r>
      <rPr>
        <b/>
        <u/>
        <sz val="12"/>
        <color theme="1"/>
        <rFont val="BIZ UDゴシック"/>
        <family val="3"/>
        <charset val="128"/>
      </rPr>
      <t>この計算結果は、試算であり、実際の保険税額とは異なります</t>
    </r>
    <r>
      <rPr>
        <sz val="12"/>
        <color theme="1"/>
        <rFont val="BIZ UDゴシック"/>
        <family val="3"/>
        <charset val="128"/>
      </rPr>
      <t>。あくまでも参考としてご利用ください。
・2025年度税制改正による給与所得控除の見直しを反映しています。
・以下のいずれかに該当する世帯は、試算結果に軽減等が反映されないため、本エクセルにて正しく計算されません。
①年度途中で国民健康保険に加入する(した)世帯員、脱退する(した)世帯員がいる場合
②年度途中で18歳・40歳・65歳・75歳になる(なった)世帯員がいる場合
③専従者控除または専従者給与のある世帯員がいる場合
④非自発的失業に係る保険税減額対象の世帯員がいる場合
⑤産前産後の保険税免除対象の世帯員がいる場合
⑥前年の所得を申告していない世帯員がいる場合
⑦分離課税・繰越控除等の申告をした世帯員がいる場合
⑧前年の所得の合計額が2,400万円を超える世帯員がいる場合
⑨前年に公的年金収入があり、かつ年金以外の所得が1,000万円を超える世帯員がいる場合</t>
    </r>
    <rPh sb="3" eb="5">
      <t>ケイサン</t>
    </rPh>
    <rPh sb="5" eb="7">
      <t>ケッカ</t>
    </rPh>
    <rPh sb="9" eb="11">
      <t>シサン</t>
    </rPh>
    <rPh sb="15" eb="17">
      <t>ジッサイ</t>
    </rPh>
    <rPh sb="18" eb="20">
      <t>ホケン</t>
    </rPh>
    <rPh sb="20" eb="21">
      <t>ゼイ</t>
    </rPh>
    <rPh sb="21" eb="22">
      <t>ガク</t>
    </rPh>
    <rPh sb="24" eb="25">
      <t>コト</t>
    </rPh>
    <rPh sb="35" eb="37">
      <t>サンコウ</t>
    </rPh>
    <rPh sb="41" eb="43">
      <t>リヨウ</t>
    </rPh>
    <rPh sb="54" eb="56">
      <t>ネンド</t>
    </rPh>
    <rPh sb="56" eb="60">
      <t>ゼイセイカイセイ</t>
    </rPh>
    <rPh sb="63" eb="69">
      <t>キュウヨショトクコウジョ</t>
    </rPh>
    <rPh sb="70" eb="72">
      <t>ミナオ</t>
    </rPh>
    <rPh sb="74" eb="76">
      <t>ハンエイ</t>
    </rPh>
    <rPh sb="84" eb="86">
      <t>イカ</t>
    </rPh>
    <rPh sb="92" eb="94">
      <t>ガイトウ</t>
    </rPh>
    <rPh sb="96" eb="98">
      <t>セタイ</t>
    </rPh>
    <rPh sb="100" eb="104">
      <t>シサンケッカ</t>
    </rPh>
    <rPh sb="105" eb="107">
      <t>ケイゲン</t>
    </rPh>
    <rPh sb="107" eb="108">
      <t>トウ</t>
    </rPh>
    <rPh sb="109" eb="111">
      <t>ハンエイ</t>
    </rPh>
    <rPh sb="118" eb="119">
      <t>ホン</t>
    </rPh>
    <rPh sb="125" eb="126">
      <t>タダ</t>
    </rPh>
    <rPh sb="128" eb="130">
      <t>ケイサン</t>
    </rPh>
    <rPh sb="138" eb="142">
      <t>ネンドトチュウ</t>
    </rPh>
    <rPh sb="143" eb="149">
      <t>コクミンケンコウホケン</t>
    </rPh>
    <rPh sb="150" eb="152">
      <t>カニュウ</t>
    </rPh>
    <rPh sb="158" eb="161">
      <t>セタイイン</t>
    </rPh>
    <rPh sb="162" eb="164">
      <t>ダッタイ</t>
    </rPh>
    <rPh sb="170" eb="173">
      <t>セタイイン</t>
    </rPh>
    <rPh sb="176" eb="178">
      <t>バアイ</t>
    </rPh>
    <rPh sb="180" eb="184">
      <t>ネンドトチュウ</t>
    </rPh>
    <rPh sb="187" eb="188">
      <t>サイ</t>
    </rPh>
    <rPh sb="191" eb="192">
      <t>サイ</t>
    </rPh>
    <rPh sb="195" eb="196">
      <t>サイ</t>
    </rPh>
    <rPh sb="199" eb="200">
      <t>サイ</t>
    </rPh>
    <rPh sb="208" eb="211">
      <t>セタイイン</t>
    </rPh>
    <rPh sb="214" eb="216">
      <t>バアイ</t>
    </rPh>
    <rPh sb="218" eb="221">
      <t>センジュウシャ</t>
    </rPh>
    <rPh sb="221" eb="223">
      <t>コウジョ</t>
    </rPh>
    <rPh sb="226" eb="229">
      <t>センジュウシャ</t>
    </rPh>
    <rPh sb="229" eb="231">
      <t>キュウヨ</t>
    </rPh>
    <rPh sb="234" eb="237">
      <t>セタイイン</t>
    </rPh>
    <rPh sb="240" eb="242">
      <t>バアイ</t>
    </rPh>
    <rPh sb="244" eb="250">
      <t>ヒジハツテキシツギョウ</t>
    </rPh>
    <rPh sb="251" eb="252">
      <t>カカ</t>
    </rPh>
    <rPh sb="253" eb="260">
      <t>ホケンゼイゲンガクタイショウ</t>
    </rPh>
    <rPh sb="261" eb="264">
      <t>セタイイン</t>
    </rPh>
    <rPh sb="267" eb="269">
      <t>バアイ</t>
    </rPh>
    <rPh sb="271" eb="275">
      <t>サンゼンサンゴ</t>
    </rPh>
    <rPh sb="276" eb="279">
      <t>ホケンゼイ</t>
    </rPh>
    <rPh sb="279" eb="283">
      <t>メンジョタイショウ</t>
    </rPh>
    <rPh sb="284" eb="287">
      <t>セタイイン</t>
    </rPh>
    <rPh sb="290" eb="292">
      <t>バアイ</t>
    </rPh>
    <rPh sb="294" eb="296">
      <t>ゼンネン</t>
    </rPh>
    <rPh sb="297" eb="299">
      <t>ショトク</t>
    </rPh>
    <rPh sb="300" eb="302">
      <t>シンコク</t>
    </rPh>
    <rPh sb="307" eb="310">
      <t>セタイイン</t>
    </rPh>
    <rPh sb="313" eb="315">
      <t>バアイ</t>
    </rPh>
    <rPh sb="317" eb="321">
      <t>ブンリカゼイ</t>
    </rPh>
    <phoneticPr fontId="1"/>
  </si>
  <si>
    <t>給与1,900,000以上</t>
    <rPh sb="0" eb="2">
      <t>キュウヨ</t>
    </rPh>
    <rPh sb="11" eb="13">
      <t>イジョウ</t>
    </rPh>
    <phoneticPr fontId="14"/>
  </si>
  <si>
    <t>給与1,900,000未満</t>
    <rPh sb="0" eb="2">
      <t>キュウヨ</t>
    </rPh>
    <rPh sb="11" eb="13">
      <t>ミマン</t>
    </rPh>
    <phoneticPr fontId="14"/>
  </si>
  <si>
    <t>朝霞市国保年金課国保賦課係
（電話）048-463-0283</t>
    <rPh sb="3" eb="8">
      <t>コクホネンキンカ</t>
    </rPh>
    <rPh sb="8" eb="12">
      <t>コクホフカ</t>
    </rPh>
    <rPh sb="12" eb="13">
      <t>カカリ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</si>
</sst>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2"/>
      <color theme="1"/>
      <name val="BIZ UDゴシック"/>
      <family val="3"/>
    </font>
    <font>
      <sz val="6"/>
      <name val="BIZ UDゴシック"/>
      <family val="3"/>
    </font>
    <font>
      <sz val="12"/>
      <color rgb="FFFF0000"/>
      <name val="BIZ UDゴシック"/>
      <family val="3"/>
    </font>
    <font>
      <b/>
      <sz val="14"/>
      <color theme="1"/>
      <name val="BIZ UDゴシック"/>
      <family val="3"/>
    </font>
    <font>
      <sz val="14"/>
      <color theme="1"/>
      <name val="BIZ UDゴシック"/>
      <family val="3"/>
    </font>
    <font>
      <sz val="8"/>
      <color theme="1"/>
      <name val="BIZ UDゴシック"/>
      <family val="3"/>
    </font>
    <font>
      <sz val="10"/>
      <color theme="1"/>
      <name val="BIZ UDゴシック"/>
      <family val="3"/>
    </font>
    <font>
      <sz val="8"/>
      <name val="BIZ UDゴシック"/>
      <family val="3"/>
    </font>
    <font>
      <b/>
      <sz val="28"/>
      <color indexed="8"/>
      <name val="BIZ UDゴシック"/>
      <family val="3"/>
    </font>
    <font>
      <sz val="6"/>
      <color theme="1"/>
      <name val="BIZ UDゴシック"/>
      <family val="3"/>
    </font>
    <font>
      <sz val="6"/>
      <color indexed="8"/>
      <name val="BIZ UDゴシック"/>
      <family val="3"/>
    </font>
    <font>
      <sz val="12"/>
      <color theme="1"/>
      <name val="BIZ UDゴシック"/>
      <family val="3"/>
    </font>
    <font>
      <sz val="6"/>
      <color rgb="FFFF0000"/>
      <name val="BIZ UDゴシック"/>
      <family val="3"/>
    </font>
    <font>
      <sz val="9"/>
      <color rgb="FFFF0000"/>
      <name val="BIZ UDゴシック"/>
      <family val="3"/>
    </font>
    <font>
      <sz val="6"/>
      <name val="ＭＳ Ｐゴシック"/>
      <family val="3"/>
    </font>
    <font>
      <b/>
      <u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4" borderId="4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4" borderId="7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 shrinkToFit="1"/>
    </xf>
    <xf numFmtId="0" fontId="0" fillId="0" borderId="16" xfId="0" applyBorder="1">
      <alignment vertical="center"/>
    </xf>
    <xf numFmtId="3" fontId="0" fillId="5" borderId="21" xfId="0" applyNumberFormat="1" applyFill="1" applyBorder="1" applyAlignment="1" applyProtection="1">
      <alignment horizontal="right" vertical="center"/>
      <protection locked="0"/>
    </xf>
    <xf numFmtId="3" fontId="0" fillId="5" borderId="4" xfId="0" applyNumberFormat="1" applyFill="1" applyBorder="1" applyAlignment="1" applyProtection="1">
      <alignment horizontal="right" vertical="center"/>
      <protection locked="0"/>
    </xf>
    <xf numFmtId="3" fontId="0" fillId="5" borderId="22" xfId="0" applyNumberFormat="1" applyFill="1" applyBorder="1" applyAlignment="1" applyProtection="1">
      <alignment horizontal="right" vertical="center"/>
      <protection locked="0"/>
    </xf>
    <xf numFmtId="3" fontId="0" fillId="0" borderId="4" xfId="0" applyNumberFormat="1" applyBorder="1" applyAlignment="1">
      <alignment horizontal="right" vertical="center"/>
    </xf>
    <xf numFmtId="3" fontId="0" fillId="6" borderId="4" xfId="0" applyNumberFormat="1" applyFill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3" fontId="0" fillId="0" borderId="12" xfId="0" applyNumberFormat="1" applyBorder="1" applyAlignment="1">
      <alignment horizontal="right" vertical="center"/>
    </xf>
    <xf numFmtId="3" fontId="5" fillId="0" borderId="13" xfId="0" applyNumberFormat="1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0" fontId="0" fillId="0" borderId="25" xfId="0" applyBorder="1">
      <alignment vertical="center"/>
    </xf>
    <xf numFmtId="3" fontId="7" fillId="0" borderId="13" xfId="0" applyNumberFormat="1" applyFon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31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5" fillId="0" borderId="3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31" xfId="0" applyBorder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Border="1" applyAlignment="1">
      <alignment vertical="top" wrapText="1"/>
    </xf>
    <xf numFmtId="0" fontId="9" fillId="0" borderId="0" xfId="0" applyFont="1" applyAlignment="1">
      <alignment horizontal="center" vertical="center"/>
    </xf>
    <xf numFmtId="0" fontId="0" fillId="0" borderId="0" xfId="0" applyFont="1" applyProtection="1">
      <alignment vertical="center"/>
    </xf>
    <xf numFmtId="0" fontId="9" fillId="0" borderId="0" xfId="0" applyFont="1">
      <alignment vertical="center"/>
    </xf>
    <xf numFmtId="38" fontId="9" fillId="0" borderId="3" xfId="1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Protection="1">
      <alignment vertical="center"/>
    </xf>
    <xf numFmtId="38" fontId="9" fillId="0" borderId="4" xfId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right" vertical="center"/>
    </xf>
    <xf numFmtId="40" fontId="9" fillId="0" borderId="3" xfId="1" applyNumberFormat="1" applyFont="1" applyBorder="1" applyAlignment="1">
      <alignment horizontal="right" vertical="center"/>
    </xf>
    <xf numFmtId="0" fontId="9" fillId="7" borderId="3" xfId="0" applyFont="1" applyFill="1" applyBorder="1" applyProtection="1">
      <alignment vertical="center"/>
    </xf>
    <xf numFmtId="38" fontId="9" fillId="0" borderId="3" xfId="0" applyNumberFormat="1" applyFont="1" applyBorder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38" fontId="9" fillId="0" borderId="37" xfId="1" applyFont="1" applyBorder="1" applyAlignment="1">
      <alignment horizontal="center" vertical="center"/>
    </xf>
    <xf numFmtId="38" fontId="9" fillId="0" borderId="38" xfId="0" applyNumberFormat="1" applyFont="1" applyBorder="1" applyAlignment="1">
      <alignment horizontal="center" vertical="center"/>
    </xf>
    <xf numFmtId="3" fontId="12" fillId="3" borderId="0" xfId="0" applyNumberFormat="1" applyFont="1" applyFill="1" applyAlignment="1">
      <alignment horizontal="center" vertical="center"/>
    </xf>
    <xf numFmtId="38" fontId="9" fillId="0" borderId="3" xfId="0" applyNumberFormat="1" applyFont="1" applyBorder="1" applyAlignment="1">
      <alignment horizontal="right" vertical="center"/>
    </xf>
    <xf numFmtId="38" fontId="9" fillId="0" borderId="17" xfId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3" fontId="9" fillId="0" borderId="3" xfId="0" applyNumberFormat="1" applyFont="1" applyBorder="1" applyAlignment="1">
      <alignment horizontal="center" vertical="center"/>
    </xf>
    <xf numFmtId="38" fontId="9" fillId="0" borderId="33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3" xfId="0" applyFont="1" applyFill="1" applyBorder="1" applyAlignment="1">
      <alignment horizontal="center" vertical="center"/>
    </xf>
    <xf numFmtId="38" fontId="9" fillId="0" borderId="43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38" fontId="9" fillId="0" borderId="9" xfId="1" applyFont="1" applyBorder="1" applyAlignment="1">
      <alignment horizontal="center" vertical="center"/>
    </xf>
    <xf numFmtId="38" fontId="9" fillId="8" borderId="9" xfId="0" applyNumberFormat="1" applyFont="1" applyFill="1" applyBorder="1" applyAlignment="1">
      <alignment horizontal="center" vertical="center"/>
    </xf>
    <xf numFmtId="0" fontId="9" fillId="7" borderId="3" xfId="0" applyFont="1" applyFill="1" applyBorder="1" applyAlignment="1" applyProtection="1">
      <alignment horizontal="center" vertical="center"/>
    </xf>
    <xf numFmtId="38" fontId="9" fillId="8" borderId="44" xfId="0" applyNumberFormat="1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3" fontId="13" fillId="3" borderId="3" xfId="0" applyNumberFormat="1" applyFont="1" applyFill="1" applyBorder="1" applyAlignment="1" applyProtection="1">
      <alignment horizontal="center" vertical="center"/>
    </xf>
    <xf numFmtId="3" fontId="13" fillId="3" borderId="45" xfId="0" applyNumberFormat="1" applyFont="1" applyFill="1" applyBorder="1" applyAlignment="1" applyProtection="1">
      <alignment horizontal="center" vertical="center"/>
    </xf>
    <xf numFmtId="3" fontId="13" fillId="3" borderId="3" xfId="0" applyNumberFormat="1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3" fillId="6" borderId="45" xfId="0" applyFont="1" applyFill="1" applyBorder="1" applyAlignment="1">
      <alignment horizontal="center" vertical="center"/>
    </xf>
    <xf numFmtId="3" fontId="13" fillId="6" borderId="45" xfId="0" applyNumberFormat="1" applyFont="1" applyFill="1" applyBorder="1" applyAlignment="1">
      <alignment horizontal="center" vertical="center"/>
    </xf>
    <xf numFmtId="0" fontId="9" fillId="8" borderId="33" xfId="0" applyFont="1" applyFill="1" applyBorder="1" applyAlignment="1">
      <alignment horizontal="center" vertical="center"/>
    </xf>
    <xf numFmtId="38" fontId="9" fillId="8" borderId="33" xfId="0" applyNumberFormat="1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38" fontId="9" fillId="0" borderId="46" xfId="0" applyNumberFormat="1" applyFont="1" applyBorder="1" applyAlignment="1">
      <alignment horizontal="center" vertical="center"/>
    </xf>
    <xf numFmtId="3" fontId="9" fillId="8" borderId="16" xfId="0" applyNumberFormat="1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/>
    </xf>
    <xf numFmtId="3" fontId="9" fillId="0" borderId="11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38" fontId="9" fillId="8" borderId="43" xfId="0" applyNumberFormat="1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 vertical="top"/>
    </xf>
    <xf numFmtId="3" fontId="9" fillId="0" borderId="48" xfId="0" applyNumberFormat="1" applyFont="1" applyFill="1" applyBorder="1" applyAlignment="1">
      <alignment horizontal="center" vertical="center"/>
    </xf>
    <xf numFmtId="3" fontId="9" fillId="0" borderId="49" xfId="0" applyNumberFormat="1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3" fontId="9" fillId="0" borderId="17" xfId="0" applyNumberFormat="1" applyFont="1" applyFill="1" applyBorder="1" applyAlignment="1">
      <alignment horizontal="center" vertical="center"/>
    </xf>
    <xf numFmtId="3" fontId="9" fillId="8" borderId="3" xfId="0" applyNumberFormat="1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center" wrapText="1"/>
    </xf>
    <xf numFmtId="3" fontId="1" fillId="0" borderId="48" xfId="0" applyNumberFormat="1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" vertical="center" wrapText="1"/>
    </xf>
    <xf numFmtId="3" fontId="12" fillId="8" borderId="3" xfId="0" applyNumberFormat="1" applyFont="1" applyFill="1" applyBorder="1" applyAlignment="1">
      <alignment horizontal="center" vertical="top"/>
    </xf>
    <xf numFmtId="0" fontId="9" fillId="0" borderId="41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2" fillId="0" borderId="0" xfId="0" applyFont="1" applyBorder="1">
      <alignment vertical="center"/>
    </xf>
    <xf numFmtId="0" fontId="12" fillId="7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/>
    </xf>
    <xf numFmtId="0" fontId="9" fillId="7" borderId="47" xfId="0" applyFont="1" applyFill="1" applyBorder="1" applyAlignment="1">
      <alignment horizontal="center" vertical="center"/>
    </xf>
    <xf numFmtId="0" fontId="9" fillId="7" borderId="50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 shrinkToFit="1"/>
    </xf>
    <xf numFmtId="0" fontId="9" fillId="0" borderId="25" xfId="0" applyFont="1" applyBorder="1" applyAlignment="1">
      <alignment horizontal="left" wrapText="1" shrinkToFit="1"/>
    </xf>
    <xf numFmtId="0" fontId="9" fillId="0" borderId="0" xfId="0" applyFont="1" applyBorder="1" applyAlignment="1">
      <alignment horizontal="left" wrapText="1"/>
    </xf>
    <xf numFmtId="0" fontId="9" fillId="0" borderId="25" xfId="0" applyFont="1" applyBorder="1" applyAlignment="1">
      <alignment horizontal="left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10" fillId="7" borderId="41" xfId="0" applyFont="1" applyFill="1" applyBorder="1" applyAlignment="1">
      <alignment horizontal="center" vertical="center" wrapText="1"/>
    </xf>
    <xf numFmtId="0" fontId="10" fillId="7" borderId="42" xfId="0" applyFont="1" applyFill="1" applyBorder="1" applyAlignment="1">
      <alignment horizontal="center" vertical="center" wrapText="1"/>
    </xf>
    <xf numFmtId="0" fontId="10" fillId="7" borderId="39" xfId="0" applyFont="1" applyFill="1" applyBorder="1" applyAlignment="1">
      <alignment horizontal="center" vertical="center" wrapText="1"/>
    </xf>
    <xf numFmtId="0" fontId="10" fillId="7" borderId="40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0" fillId="7" borderId="44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" vertical="center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0" fillId="5" borderId="8" xfId="0" applyFill="1" applyBorder="1" applyAlignment="1" applyProtection="1">
      <alignment horizontal="center" vertical="center" shrinkToFit="1"/>
      <protection locked="0"/>
    </xf>
    <xf numFmtId="0" fontId="0" fillId="5" borderId="14" xfId="0" applyFill="1" applyBorder="1" applyAlignment="1" applyProtection="1">
      <alignment horizontal="center" vertical="center" shrinkToFit="1"/>
      <protection locked="0"/>
    </xf>
    <xf numFmtId="0" fontId="0" fillId="4" borderId="7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15" xfId="0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 indent="1"/>
    </xf>
    <xf numFmtId="0" fontId="6" fillId="0" borderId="0" xfId="0" applyFont="1" applyBorder="1" applyAlignment="1">
      <alignment horizontal="left" vertical="center" indent="1"/>
    </xf>
    <xf numFmtId="0" fontId="9" fillId="7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FFFF93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0"/>
  <sheetViews>
    <sheetView showGridLines="0" tabSelected="1" view="pageBreakPreview" zoomScaleNormal="90" zoomScaleSheetLayoutView="100" workbookViewId="0">
      <selection activeCell="B7" sqref="B7:C7"/>
    </sheetView>
  </sheetViews>
  <sheetFormatPr defaultRowHeight="14.25" x14ac:dyDescent="0.15"/>
  <cols>
    <col min="1" max="1" width="10" customWidth="1"/>
    <col min="2" max="2" width="11.625" customWidth="1"/>
    <col min="3" max="3" width="5" customWidth="1"/>
    <col min="4" max="4" width="14.625" customWidth="1"/>
    <col min="5" max="5" width="4.625" customWidth="1"/>
    <col min="6" max="6" width="14.625" customWidth="1"/>
    <col min="7" max="7" width="5" customWidth="1"/>
    <col min="8" max="8" width="14.625" customWidth="1"/>
    <col min="9" max="9" width="5" customWidth="1"/>
    <col min="10" max="10" width="14.625" customWidth="1"/>
    <col min="11" max="11" width="5.125" customWidth="1"/>
    <col min="12" max="12" width="14.625" customWidth="1"/>
    <col min="13" max="13" width="4.625" customWidth="1"/>
    <col min="14" max="14" width="9" customWidth="1"/>
    <col min="15" max="31" width="9" style="1" hidden="1" customWidth="1"/>
    <col min="32" max="50" width="9" hidden="1" customWidth="1"/>
    <col min="51" max="51" width="9" style="2" hidden="1" customWidth="1"/>
    <col min="52" max="52" width="9" hidden="1" customWidth="1"/>
  </cols>
  <sheetData>
    <row r="1" spans="1:54" ht="21" customHeight="1" x14ac:dyDescent="0.15">
      <c r="A1" s="114" t="s">
        <v>94</v>
      </c>
      <c r="B1" s="114"/>
      <c r="C1" s="8" t="s">
        <v>27</v>
      </c>
      <c r="I1" s="6" t="s">
        <v>102</v>
      </c>
      <c r="J1" s="125" t="s">
        <v>110</v>
      </c>
      <c r="K1" s="126"/>
      <c r="L1" s="126"/>
      <c r="M1" s="126"/>
      <c r="O1" s="128" t="s">
        <v>6</v>
      </c>
      <c r="P1" s="128"/>
      <c r="Q1" s="128"/>
      <c r="R1" s="57"/>
    </row>
    <row r="2" spans="1:54" ht="15" customHeight="1" x14ac:dyDescent="0.15">
      <c r="A2" s="115" t="s">
        <v>2</v>
      </c>
      <c r="B2" s="116"/>
      <c r="C2" s="116"/>
      <c r="D2" s="117"/>
      <c r="J2" s="127"/>
      <c r="K2" s="127"/>
      <c r="L2" s="127"/>
      <c r="M2" s="127"/>
      <c r="O2" s="128"/>
      <c r="P2" s="128"/>
      <c r="Q2" s="128"/>
      <c r="R2" s="57"/>
    </row>
    <row r="3" spans="1:54" ht="174" customHeight="1" x14ac:dyDescent="0.15">
      <c r="A3" s="118" t="s">
        <v>107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20"/>
      <c r="P3" s="44"/>
      <c r="Q3" s="44"/>
      <c r="R3" s="44"/>
      <c r="S3" s="44"/>
      <c r="T3" s="129" t="s">
        <v>45</v>
      </c>
      <c r="U3" s="44"/>
      <c r="V3" s="44"/>
      <c r="W3" s="131" t="s">
        <v>28</v>
      </c>
      <c r="X3" s="69"/>
      <c r="Y3" s="69"/>
      <c r="Z3" s="69"/>
      <c r="AA3" s="69"/>
      <c r="AB3" s="69"/>
      <c r="AC3" s="69"/>
      <c r="AD3" s="69"/>
      <c r="AE3" s="69"/>
      <c r="AF3" s="69"/>
      <c r="AG3" s="69"/>
    </row>
    <row r="4" spans="1:54" ht="18" customHeight="1" x14ac:dyDescent="0.15">
      <c r="A4" s="4" t="s">
        <v>57</v>
      </c>
      <c r="L4" s="31"/>
      <c r="M4" s="31"/>
      <c r="P4" s="44"/>
      <c r="Q4" s="44"/>
      <c r="R4" s="44"/>
      <c r="S4" s="44"/>
      <c r="T4" s="130"/>
      <c r="U4" s="66" t="s">
        <v>31</v>
      </c>
      <c r="V4" s="44"/>
      <c r="W4" s="132"/>
      <c r="X4" s="69"/>
      <c r="Y4" s="69"/>
      <c r="Z4" s="69"/>
      <c r="AA4" s="69"/>
      <c r="AB4" s="69"/>
      <c r="AC4" s="69"/>
      <c r="AD4" s="69"/>
      <c r="AE4" s="69"/>
      <c r="AF4" s="69"/>
      <c r="AG4" s="69"/>
      <c r="AV4" s="110" t="str">
        <f>IF($AI$14&lt;=$Q$19,"7割軽減",IF(AND($AI$14&gt;$Q$19,$AI$14&lt;=$R$19),"5割軽減",IF(AND($AI$14&gt;$R$19,$AI$14&lt;=$S$19),"2割軽減","なし")))</f>
        <v>7割軽減</v>
      </c>
      <c r="AW4" s="111"/>
      <c r="AY4" s="112"/>
    </row>
    <row r="5" spans="1:54" ht="15" customHeight="1" x14ac:dyDescent="0.15">
      <c r="A5" s="121" t="s">
        <v>3</v>
      </c>
      <c r="B5" s="121" t="s">
        <v>16</v>
      </c>
      <c r="C5" s="150" t="s">
        <v>33</v>
      </c>
      <c r="D5" s="121" t="s">
        <v>95</v>
      </c>
      <c r="E5" s="121"/>
      <c r="F5" s="121"/>
      <c r="G5" s="121"/>
      <c r="H5" s="121"/>
      <c r="I5" s="121"/>
      <c r="J5" s="121" t="s">
        <v>12</v>
      </c>
      <c r="K5" s="150" t="s">
        <v>14</v>
      </c>
      <c r="L5" s="32"/>
      <c r="M5" s="38"/>
      <c r="P5" s="133" t="s">
        <v>109</v>
      </c>
      <c r="Q5" s="135" t="s">
        <v>108</v>
      </c>
      <c r="R5" s="145" t="s">
        <v>68</v>
      </c>
      <c r="S5" s="139" t="s">
        <v>29</v>
      </c>
      <c r="T5" s="135" t="s">
        <v>47</v>
      </c>
      <c r="U5" s="137" t="s">
        <v>46</v>
      </c>
      <c r="V5" s="139" t="s">
        <v>103</v>
      </c>
      <c r="W5" s="133" t="s">
        <v>104</v>
      </c>
      <c r="X5" s="135" t="s">
        <v>69</v>
      </c>
      <c r="Y5" s="137" t="s">
        <v>50</v>
      </c>
      <c r="Z5" s="137" t="s">
        <v>26</v>
      </c>
      <c r="AA5" s="139" t="s">
        <v>12</v>
      </c>
      <c r="AB5" s="141" t="s">
        <v>40</v>
      </c>
      <c r="AC5" s="133" t="s">
        <v>70</v>
      </c>
      <c r="AD5" s="133" t="s">
        <v>98</v>
      </c>
      <c r="AE5" s="133" t="s">
        <v>36</v>
      </c>
      <c r="AF5" s="133" t="s">
        <v>80</v>
      </c>
      <c r="AG5" s="133" t="s">
        <v>20</v>
      </c>
      <c r="AH5" s="135" t="s">
        <v>53</v>
      </c>
      <c r="AI5" s="137" t="s">
        <v>72</v>
      </c>
      <c r="AJ5" s="122" t="s">
        <v>73</v>
      </c>
      <c r="AK5" s="123"/>
      <c r="AL5" s="124"/>
      <c r="AM5" s="183" t="s">
        <v>24</v>
      </c>
      <c r="AN5" s="184"/>
      <c r="AO5" s="185"/>
      <c r="AP5" s="186" t="s">
        <v>86</v>
      </c>
      <c r="AQ5" s="124"/>
      <c r="AR5" s="186" t="s">
        <v>96</v>
      </c>
      <c r="AS5" s="123"/>
      <c r="AT5" s="124"/>
      <c r="AU5" s="143" t="s">
        <v>93</v>
      </c>
      <c r="AV5" s="170" t="s">
        <v>81</v>
      </c>
      <c r="AW5" s="170"/>
      <c r="AX5" s="170"/>
      <c r="AY5" s="170"/>
      <c r="AZ5" s="143" t="s">
        <v>42</v>
      </c>
    </row>
    <row r="6" spans="1:54" ht="21" customHeight="1" x14ac:dyDescent="0.15">
      <c r="A6" s="121"/>
      <c r="B6" s="149"/>
      <c r="C6" s="151"/>
      <c r="D6" s="7" t="s">
        <v>22</v>
      </c>
      <c r="E6" s="9" t="s">
        <v>14</v>
      </c>
      <c r="F6" s="7" t="s">
        <v>10</v>
      </c>
      <c r="G6" s="9" t="s">
        <v>14</v>
      </c>
      <c r="H6" s="7" t="s">
        <v>26</v>
      </c>
      <c r="I6" s="9" t="s">
        <v>14</v>
      </c>
      <c r="J6" s="149"/>
      <c r="K6" s="151"/>
      <c r="L6" s="32"/>
      <c r="M6" s="38"/>
      <c r="P6" s="134"/>
      <c r="Q6" s="136"/>
      <c r="R6" s="146"/>
      <c r="S6" s="140" t="s">
        <v>29</v>
      </c>
      <c r="T6" s="136" t="s">
        <v>47</v>
      </c>
      <c r="U6" s="138"/>
      <c r="V6" s="140" t="s">
        <v>23</v>
      </c>
      <c r="W6" s="134" t="s">
        <v>48</v>
      </c>
      <c r="X6" s="136" t="s">
        <v>49</v>
      </c>
      <c r="Y6" s="138" t="s">
        <v>50</v>
      </c>
      <c r="Z6" s="138"/>
      <c r="AA6" s="140"/>
      <c r="AB6" s="142" t="s">
        <v>40</v>
      </c>
      <c r="AC6" s="134" t="s">
        <v>36</v>
      </c>
      <c r="AD6" s="134" t="s">
        <v>36</v>
      </c>
      <c r="AE6" s="134" t="s">
        <v>36</v>
      </c>
      <c r="AF6" s="134" t="s">
        <v>52</v>
      </c>
      <c r="AG6" s="134" t="s">
        <v>20</v>
      </c>
      <c r="AH6" s="136" t="s">
        <v>53</v>
      </c>
      <c r="AI6" s="138" t="s">
        <v>53</v>
      </c>
      <c r="AJ6" s="97" t="s">
        <v>84</v>
      </c>
      <c r="AK6" s="102" t="s">
        <v>83</v>
      </c>
      <c r="AL6" s="51" t="s">
        <v>88</v>
      </c>
      <c r="AM6" s="51" t="s">
        <v>84</v>
      </c>
      <c r="AN6" s="102" t="s">
        <v>83</v>
      </c>
      <c r="AO6" s="51" t="s">
        <v>88</v>
      </c>
      <c r="AP6" s="107" t="s">
        <v>87</v>
      </c>
      <c r="AQ6" s="51" t="s">
        <v>88</v>
      </c>
      <c r="AR6" s="107" t="s">
        <v>87</v>
      </c>
      <c r="AS6" s="108" t="s">
        <v>105</v>
      </c>
      <c r="AT6" s="51" t="s">
        <v>88</v>
      </c>
      <c r="AU6" s="144"/>
      <c r="AV6" s="51" t="s">
        <v>89</v>
      </c>
      <c r="AW6" s="50" t="s">
        <v>21</v>
      </c>
      <c r="AX6" s="51" t="s">
        <v>86</v>
      </c>
      <c r="AY6" s="113" t="s">
        <v>101</v>
      </c>
      <c r="AZ6" s="144"/>
    </row>
    <row r="7" spans="1:54" ht="15" customHeight="1" x14ac:dyDescent="0.15">
      <c r="A7" s="5" t="s">
        <v>4</v>
      </c>
      <c r="B7" s="147"/>
      <c r="C7" s="148"/>
      <c r="D7" s="11"/>
      <c r="E7" s="19" t="s">
        <v>19</v>
      </c>
      <c r="F7" s="11"/>
      <c r="G7" s="19" t="s">
        <v>19</v>
      </c>
      <c r="H7" s="11"/>
      <c r="I7" s="19" t="s">
        <v>19</v>
      </c>
      <c r="J7" s="11"/>
      <c r="K7" s="28" t="s">
        <v>19</v>
      </c>
      <c r="L7" s="33"/>
      <c r="M7" s="39"/>
      <c r="P7" s="45">
        <f>IF(D7&lt;651000,0,IF(AND(D7&gt;=651000,D7&lt;1900000),D7-650000,0))</f>
        <v>0</v>
      </c>
      <c r="Q7" s="48">
        <f>IF(AND(D7&gt;=1900000,D7&lt;3600000),ROUNDDOWN(D7/4,-3)*2.8-80000,IF(AND(D7&gt;=3600000,D7&lt;6600000),ROUNDDOWN(D7/4,-3)*3.2-440000,IF(AND(D7&gt;=6600000,D7&lt;8500000),ROUNDDOWN(D7*0.9-1100000,0),IF(D7&gt;=8500000,ROUNDDOWN(D7-1950000,0),0))))</f>
        <v>0</v>
      </c>
      <c r="R7" s="58">
        <f>IF(B7="",0,IF(D7&gt;=1900000,Q7,P7))</f>
        <v>0</v>
      </c>
      <c r="S7" s="62">
        <f t="shared" ref="S7:S13" si="0">IF(X7=0,IF(F7&lt;=600000,0,IF(AND(F7&gt;600000,F7&lt;1300000),F7-600000,IF(AND(F7&gt;=1300000,F7&lt;4100000),ROUNDDOWN(F7*0.75-275000,0),IF(AND(F7&gt;=4100000,F7&lt;7700000),ROUNDDOWN(F7*0.85-685000,0),IF(AND(F7&gt;=7700000,F7&lt;10000000),ROUNDDOWN(F7*0.95-1455000,0),IF(F7&gt;=10000000,ROUNDDOWN(F7-1955000,0),0)))))),0)</f>
        <v>0</v>
      </c>
      <c r="T7" s="48">
        <f t="shared" ref="T7:T13" si="1">IF(X7=1,IF(F7&lt;=1100000,0,IF(AND(F7&gt;1100000,F7&lt;3300000),F7-1100000,IF(AND(F7&gt;=3300000,F7&lt;4100000),ROUNDDOWN(F7*0.75-275000,0),IF(AND(F7&gt;=4100000,F7&lt;7700000),ROUNDDOWN(F7*0.85-685000,0),IF(AND(F7&gt;=7700000,F7&lt;10000000),ROUNDDOWN(F7*0.95-1455000,0),IF(F7&gt;=10000000,ROUNDDOWN(F7-1950000,0),0)))))),0)</f>
        <v>0</v>
      </c>
      <c r="U7" s="58">
        <f>IF(B7="",0,IF(OR(B7="加入なし(65歳以上)",B7="65歳以上"),T7,S7))</f>
        <v>0</v>
      </c>
      <c r="V7" s="62">
        <f t="shared" ref="V7:V13" si="2">IF(P7+Q7+S7+T7&gt;0,1,0)</f>
        <v>0</v>
      </c>
      <c r="W7" s="45">
        <f t="shared" ref="W7:W13" si="3">IF(AND(P7+Q7&gt;0,S7+T7&gt;0),1,0)</f>
        <v>0</v>
      </c>
      <c r="X7" s="48">
        <f>IF(OR(B7="加入なし(65歳以上)",B7="65歳以上"),1,0)</f>
        <v>0</v>
      </c>
      <c r="Y7" s="58">
        <f t="shared" ref="Y7:Y13" si="4">IF(AND(X7=1,U7&gt;0),MAX(U7-150000,0),U7)</f>
        <v>0</v>
      </c>
      <c r="Z7" s="58">
        <f t="shared" ref="Z7:Z13" si="5">IF(B7="",0,H7)</f>
        <v>0</v>
      </c>
      <c r="AA7" s="73">
        <f t="shared" ref="AA7:AA13" si="6">IF(B7="",0,J7)</f>
        <v>0</v>
      </c>
      <c r="AB7" s="62">
        <f t="shared" ref="AB7:AB13" si="7">IF(OR(B7="未就学児",B7="18歳以下",B7="19歳～39歳",B7="40歳～64歳",B7="65歳以上"),1,0)</f>
        <v>0</v>
      </c>
      <c r="AC7" s="45">
        <f t="shared" ref="AC7:AC13" si="8">IF(B7="未就学児",1,0)</f>
        <v>0</v>
      </c>
      <c r="AD7" s="45">
        <f t="shared" ref="AD7:AD13" si="9">IF(B7="18歳以下",1,0)</f>
        <v>0</v>
      </c>
      <c r="AE7" s="45">
        <f t="shared" ref="AE7:AE13" si="10">IF(B7="40歳～64歳",1,0)</f>
        <v>0</v>
      </c>
      <c r="AF7" s="45">
        <f t="shared" ref="AF7:AF13" si="11">IF(AE7=1,AH7,0)</f>
        <v>0</v>
      </c>
      <c r="AG7" s="45">
        <f t="shared" ref="AG7:AG13" si="12">R7+U7+Z7</f>
        <v>0</v>
      </c>
      <c r="AH7" s="48">
        <f t="shared" ref="AH7:AH13" si="13">IF(AG7&gt;430000,IF(W7=1,AG7-430000-IF(R7+U7&gt;=100000,100000,R7+R7),AG7-430000),0)</f>
        <v>0</v>
      </c>
      <c r="AI7" s="58">
        <f>R7+Y7+Z7</f>
        <v>0</v>
      </c>
      <c r="AJ7" s="98">
        <f>IF(OR(B7="加入なし(64歳以下)",B7="加入なし(65歳以上)",B7=""),0,AH7)*AB21+IF(OR(B7="加入なし(64歳以下)",B7="加入なし(65歳以上)",B7=""),0,AA7)*AB22+IF(OR(B7="加入なし(64歳以下)",B7="加入なし(65歳以上)",B7=""),0,AB23)+IF(OR(B7="加入なし(64歳以下)",B7="加入なし(65歳以上)",B7=""),0,AB25/AB14)</f>
        <v>0</v>
      </c>
      <c r="AK7" s="103">
        <f t="shared" ref="AK7:AK13" si="14">IF(B7="未就学児",AJ7,0)</f>
        <v>0</v>
      </c>
      <c r="AL7" s="67">
        <f>IF($AK$15&gt;=$AJ$15,IF(B7="未就学児",AK7,AJ15-SUM(AL8:AL13)),AJ7)</f>
        <v>0</v>
      </c>
      <c r="AM7" s="67">
        <f>IF(OR(B7="加入なし(64歳以下)",B7="加入なし(65歳以上)",B7=""),0,AH7)*AC21+IF(OR(B7="加入なし(64歳以下)",B7="加入なし(65歳以上)",B7=""),0,AC23)</f>
        <v>0</v>
      </c>
      <c r="AN7" s="103">
        <f t="shared" ref="AN7:AN13" si="15">IF(B7="未就学児",AM7,0)</f>
        <v>0</v>
      </c>
      <c r="AO7" s="67">
        <f>IF($AN$15&gt;=$AM$15,IF(B7="未就学児",AN7,IF($AN$15&gt;=$AC$26,AM15-SUM(AO8:AO13),AM7)),AM7)</f>
        <v>0</v>
      </c>
      <c r="AP7" s="67">
        <f t="shared" ref="AP7:AP13" si="16">IF(AE7=0,0,(AF7*$AD$21)+$AD$23)</f>
        <v>0</v>
      </c>
      <c r="AQ7" s="67">
        <f>IF($AP$14&gt;=$AP$15,AP15-SUM(AQ8:AQ13),AP7)</f>
        <v>0</v>
      </c>
      <c r="AR7" s="67">
        <f>IF(OR(B7="加入なし(64歳以下)",B7="加入なし(65歳以上)",B7=""),0,AH7)*AE21+IF(OR(B7="加入なし(64歳以下)",B7="加入なし(65歳以上)",B7=""),0,AE23+AE24)</f>
        <v>0</v>
      </c>
      <c r="AS7" s="103">
        <f t="shared" ref="AS7:AS13" si="17">IF(OR(B7="未就学児",B7="18歳以下"),AR7,0)</f>
        <v>0</v>
      </c>
      <c r="AT7" s="67">
        <f>IF($AS$15&gt;=$AR$15,IF(OR(B7="未就学児",B7="18歳以下"),AS7,IF($AS$15&gt;=$AE$26,AR15-SUM(AT8:AT13),AR7)),AR7)</f>
        <v>0</v>
      </c>
      <c r="AU7" s="67">
        <f t="shared" ref="AU7:AU13" si="18">AL7+AO7+AQ7+AT7</f>
        <v>0</v>
      </c>
      <c r="AV7" s="67">
        <f>IF(OR(B7="",B7="加入なし(64歳以下)",B7="加入なし(65歳以上)"),0,IF($AV$4="なし",0,IF($AV$4="2割軽減",-($AB$23*0.2)-($AB$25*0.2/$AB$14),IF($AV$4="5割軽減",-($AB$23*0.5)-($AB$25*0.5/$AB$14),IF($AV$4="7割軽減",-($AB$23*0.7)-($AB$25*0.7/$AB$14))))))</f>
        <v>0</v>
      </c>
      <c r="AW7" s="67">
        <f>IF(OR(B7="",B7="加入なし(64歳以下)",B7="加入なし(65歳以上)"),0,IF($AV$4="なし",0,IF($AV$4="2割軽減",-($AC$23*0.2),IF($AV$4="5割軽減",-($AC$23*0.5),IF($AV$4="7割軽減",-($AC$23*0.7))))))</f>
        <v>0</v>
      </c>
      <c r="AX7" s="67">
        <f t="shared" ref="AX7:AX13" si="19">IF(AE7=0,0,IF($AV$4="なし",0,IF($AV$4="2割軽減",-($AD$23*0.2),IF($AV$4="5割軽減",-($AD$23*0.5),IF($AV$4="7割軽減",-($AD$23*0.7))))))</f>
        <v>0</v>
      </c>
      <c r="AY7" s="67">
        <f>IF(OR(B7="",B7="加入なし(64歳以下)",B7="加入なし(65歳以上)"),0,IF($AV$4="なし",0,IF($AV$4="2割軽減",-(SUM($AE$23:$AE$24)*0.2),IF($AV$4="5割軽減",-(SUM($AE$23:$AE$24)*0.5),IF($AV$4="7割軽減",-(SUM($AE$23:$AE$24)*0.7))))))</f>
        <v>0</v>
      </c>
      <c r="AZ7" s="67">
        <f>IF(OR(B7="",B7="加入なし(64歳以下)",B7="加入なし(65歳以上)"),0,AU7+SUM(AV7:AY7))</f>
        <v>0</v>
      </c>
      <c r="BA7" s="1"/>
    </row>
    <row r="8" spans="1:54" ht="15" customHeight="1" x14ac:dyDescent="0.15">
      <c r="A8" s="5" t="s">
        <v>0</v>
      </c>
      <c r="B8" s="152"/>
      <c r="C8" s="153"/>
      <c r="D8" s="12"/>
      <c r="E8" s="20" t="s">
        <v>19</v>
      </c>
      <c r="F8" s="12"/>
      <c r="G8" s="20" t="s">
        <v>19</v>
      </c>
      <c r="H8" s="12"/>
      <c r="I8" s="20" t="s">
        <v>19</v>
      </c>
      <c r="J8" s="12"/>
      <c r="K8" s="29" t="s">
        <v>19</v>
      </c>
      <c r="L8" s="33"/>
      <c r="M8" s="39"/>
      <c r="P8" s="45">
        <f>IF(D8&lt;651000,0,IF(AND(D8&gt;=651000,D8&lt;1900000),D8-650000,0))</f>
        <v>0</v>
      </c>
      <c r="Q8" s="48">
        <f>IF(AND(D8&gt;=1900000,D8&lt;3600000),ROUNDDOWN(D8/4,-3)*2.8-80000,IF(AND(D8&gt;=3600000,D8&lt;6600000),ROUNDDOWN(D8/4,-3)*3.2-440000,IF(AND(D8&gt;=6600000,D8&lt;8500000),ROUNDDOWN(D8*0.9-1100000,0),IF(D8&gt;=8500000,ROUNDDOWN(D8-1950000,0),0))))</f>
        <v>0</v>
      </c>
      <c r="R8" s="58">
        <f t="shared" ref="R8:R13" si="20">IF(B8="",0,IF(D8&gt;=1900000,Q8,P8))</f>
        <v>0</v>
      </c>
      <c r="S8" s="62">
        <f t="shared" si="0"/>
        <v>0</v>
      </c>
      <c r="T8" s="48">
        <f t="shared" si="1"/>
        <v>0</v>
      </c>
      <c r="U8" s="58">
        <f t="shared" ref="U8:U13" si="21">IF(B8="",0,IF(B8="65歳以上",T8,S8))</f>
        <v>0</v>
      </c>
      <c r="V8" s="62">
        <f t="shared" si="2"/>
        <v>0</v>
      </c>
      <c r="W8" s="45">
        <f t="shared" si="3"/>
        <v>0</v>
      </c>
      <c r="X8" s="48">
        <f t="shared" ref="X8:X13" si="22">IF(B8="65歳以上",1,0)</f>
        <v>0</v>
      </c>
      <c r="Y8" s="58">
        <f t="shared" si="4"/>
        <v>0</v>
      </c>
      <c r="Z8" s="58">
        <f t="shared" si="5"/>
        <v>0</v>
      </c>
      <c r="AA8" s="73">
        <f t="shared" si="6"/>
        <v>0</v>
      </c>
      <c r="AB8" s="62">
        <f t="shared" si="7"/>
        <v>0</v>
      </c>
      <c r="AC8" s="45">
        <f t="shared" si="8"/>
        <v>0</v>
      </c>
      <c r="AD8" s="45">
        <f t="shared" si="9"/>
        <v>0</v>
      </c>
      <c r="AE8" s="45">
        <f t="shared" si="10"/>
        <v>0</v>
      </c>
      <c r="AF8" s="45">
        <f t="shared" si="11"/>
        <v>0</v>
      </c>
      <c r="AG8" s="45">
        <f t="shared" si="12"/>
        <v>0</v>
      </c>
      <c r="AH8" s="48">
        <f t="shared" si="13"/>
        <v>0</v>
      </c>
      <c r="AI8" s="58">
        <f t="shared" ref="AI8:AI13" si="23">R8+Y8+Z8</f>
        <v>0</v>
      </c>
      <c r="AJ8" s="98">
        <f>IF(B8="",0,(AH8*$AB$21)+(AA8*$AB$22+$AB$23)+($AB$25/$AB$14))</f>
        <v>0</v>
      </c>
      <c r="AK8" s="103">
        <f t="shared" si="14"/>
        <v>0</v>
      </c>
      <c r="AL8" s="67">
        <f t="shared" ref="AL8:AL13" si="24">IF($AK$15&gt;=$AJ$15,IF(B8="未就学児",AK8,IF(AJ8=0,0,IF($AB$23&gt;=(AJ8*($AJ$15-$AK$14)/$AK$15),AJ8,(AJ8*($AJ$15-$AK$14)/$AK$15)))),AJ8)</f>
        <v>0</v>
      </c>
      <c r="AM8" s="67">
        <f t="shared" ref="AM8:AM13" si="25">IF(B8="",0,(AH8*$AC$21)+$AC$23)</f>
        <v>0</v>
      </c>
      <c r="AN8" s="103">
        <f t="shared" si="15"/>
        <v>0</v>
      </c>
      <c r="AO8" s="67">
        <f t="shared" ref="AO8:AO13" si="26">IF($AN$15&gt;=$AM$15,IF(B8="未就学児",AN8,IF(AM8=0,0,IF($AC$23&gt;=(AM8*($AM$15-$AN$14)/$AN$15),AM8,(AM8*($AM$15-$AN$14)/$AN$15)))),AM8)</f>
        <v>0</v>
      </c>
      <c r="AP8" s="67">
        <f t="shared" si="16"/>
        <v>0</v>
      </c>
      <c r="AQ8" s="67">
        <f t="shared" ref="AQ8:AQ13" si="27">IF($AP$14&gt;=$AP$15,IF(AP8=0,0,IF($AD$23&gt;=(AP8*($AP$15/$AP$14)),AP8,AP8*($AP$15/$AP$14))),AP8)</f>
        <v>0</v>
      </c>
      <c r="AR8" s="67">
        <f t="shared" ref="AR8:AR13" si="28">IF(B8="",0,IF(OR(B8="未就学児",B8="18歳以下"),(AH8*$AE$21)+$AE$23,(AH8*$AE$21)+$AE$23+$AE$24))</f>
        <v>0</v>
      </c>
      <c r="AS8" s="103">
        <f t="shared" si="17"/>
        <v>0</v>
      </c>
      <c r="AT8" s="67">
        <f t="shared" ref="AT8:AT13" si="29">IF($AS$15&gt;=$AR$15,IF(G8="未就学児",AS8,IF(AR8=0,0,IF(SUM($AE$23:$AE$24)&gt;=(AR8*($AR$15-$AS$14)/$AS$15),AR8,(AR8*($AR$15-$AS$14)/$AS$15)))),AR8)</f>
        <v>0</v>
      </c>
      <c r="AU8" s="67">
        <f t="shared" si="18"/>
        <v>0</v>
      </c>
      <c r="AV8" s="67">
        <f t="shared" ref="AV8:AV13" si="30">IF(B8="",0,IF($AV$4="なし",IF(AC8=1,-($AB$23*0.5),0),IF($AV$4="2割軽減",IF(AC8=1,-($AB$23*0.6)-($AB$25*0.2/$AB$14),-($AB$23*0.2+$AB$25*0.2/$AB$14)),IF($AV$4="5割軽減",IF(AC8=1,-($AB$23*0.75+$AB$25*0.5/$AB$14),-($AB$23*0.5+$AB$25*0.5/$AB$14)),IF($AV$4="7割軽減",IF(AC8=1,-($AB$23*0.85+$AB$25*0.7/$AB$14),-($AB$23*0.7+$AB$25*0.7/$AB$14)))))))</f>
        <v>0</v>
      </c>
      <c r="AW8" s="67">
        <f t="shared" ref="AW8:AW13" si="31">IF(B8="",0,IF($AV$4="なし",IF(AC8=1,-($V$19),0),IF($AV$4="2割軽減",IF(AC8=1,-($V$19*1.2),-($AC$23*0.2)),IF($AV$4="5割軽減",IF(AC8=1,-($V$19*1.5),-($AC$23*0.5)),IF($AV$4="7割軽減",IF(AC8=1,-($V$19*1.7),-($AC$23*0.7)))))))</f>
        <v>0</v>
      </c>
      <c r="AX8" s="67">
        <f t="shared" si="19"/>
        <v>0</v>
      </c>
      <c r="AY8" s="67">
        <f t="shared" ref="AY8:AY13" si="32">IF(B8="",0,IF($AV$4="なし",IF(OR(AC8=1,AD8=1),-(AS8),0),IF($AV$4="2割軽減",IF(OR(AC8=1,AD8=1),-(AS8),-(SUM($AE$23:$AE$24)*0.2)),IF($AV$4="5割軽減",IF(OR(AC8=1,AD8=1),-(AS8),-(SUM($AE$23:$AE$24)*0.5)),IF($AV$4="7割軽減",IF(OR(AC8=1,AD8=1),-(AS8),-(SUM($AE$23:$AE$24)*0.7)))))))</f>
        <v>0</v>
      </c>
      <c r="AZ8" s="67">
        <f t="shared" ref="AZ8:AZ13" si="33">AU8+SUM(AV8:AY8)</f>
        <v>0</v>
      </c>
      <c r="BA8" s="1"/>
    </row>
    <row r="9" spans="1:54" x14ac:dyDescent="0.15">
      <c r="A9" s="5" t="s">
        <v>7</v>
      </c>
      <c r="B9" s="152"/>
      <c r="C9" s="153"/>
      <c r="D9" s="12"/>
      <c r="E9" s="20" t="s">
        <v>19</v>
      </c>
      <c r="F9" s="12"/>
      <c r="G9" s="20" t="s">
        <v>19</v>
      </c>
      <c r="H9" s="12"/>
      <c r="I9" s="20" t="s">
        <v>19</v>
      </c>
      <c r="J9" s="12"/>
      <c r="K9" s="29" t="s">
        <v>19</v>
      </c>
      <c r="L9" s="33"/>
      <c r="M9" s="39"/>
      <c r="P9" s="45">
        <f t="shared" ref="P9:P13" si="34">IF(D9&lt;651000,0,IF(AND(D9&gt;=651000,D9&lt;1900000),D9-650000,0))</f>
        <v>0</v>
      </c>
      <c r="Q9" s="48">
        <f t="shared" ref="Q9:Q13" si="35">IF(AND(D9&gt;=1900000,D9&lt;3600000),ROUNDDOWN(D9/4,-3)*2.8-80000,IF(AND(D9&gt;=3600000,D9&lt;6600000),ROUNDDOWN(D9/4,-3)*3.2-440000,IF(AND(D9&gt;=6600000,D9&lt;8500000),ROUNDDOWN(D9*0.9-1100000,0),IF(D9&gt;=8500000,ROUNDDOWN(D9-1950000,0),0))))</f>
        <v>0</v>
      </c>
      <c r="R9" s="58">
        <f t="shared" si="20"/>
        <v>0</v>
      </c>
      <c r="S9" s="62">
        <f t="shared" si="0"/>
        <v>0</v>
      </c>
      <c r="T9" s="48">
        <f t="shared" si="1"/>
        <v>0</v>
      </c>
      <c r="U9" s="58">
        <f t="shared" si="21"/>
        <v>0</v>
      </c>
      <c r="V9" s="62">
        <f t="shared" si="2"/>
        <v>0</v>
      </c>
      <c r="W9" s="45">
        <f t="shared" si="3"/>
        <v>0</v>
      </c>
      <c r="X9" s="48">
        <f t="shared" si="22"/>
        <v>0</v>
      </c>
      <c r="Y9" s="58">
        <f t="shared" si="4"/>
        <v>0</v>
      </c>
      <c r="Z9" s="58">
        <f t="shared" si="5"/>
        <v>0</v>
      </c>
      <c r="AA9" s="73">
        <f t="shared" si="6"/>
        <v>0</v>
      </c>
      <c r="AB9" s="62">
        <f t="shared" si="7"/>
        <v>0</v>
      </c>
      <c r="AC9" s="45">
        <f t="shared" si="8"/>
        <v>0</v>
      </c>
      <c r="AD9" s="45">
        <f t="shared" si="9"/>
        <v>0</v>
      </c>
      <c r="AE9" s="45">
        <f t="shared" si="10"/>
        <v>0</v>
      </c>
      <c r="AF9" s="45">
        <f t="shared" si="11"/>
        <v>0</v>
      </c>
      <c r="AG9" s="45">
        <f t="shared" si="12"/>
        <v>0</v>
      </c>
      <c r="AH9" s="48">
        <f t="shared" si="13"/>
        <v>0</v>
      </c>
      <c r="AI9" s="58">
        <f t="shared" si="23"/>
        <v>0</v>
      </c>
      <c r="AJ9" s="98">
        <f>IF(B9="",0,(AH9*$AB$21)+(AA9*$AB$22+$AB$23+$AB$25/$AB$14))</f>
        <v>0</v>
      </c>
      <c r="AK9" s="103">
        <f t="shared" si="14"/>
        <v>0</v>
      </c>
      <c r="AL9" s="67">
        <f t="shared" si="24"/>
        <v>0</v>
      </c>
      <c r="AM9" s="67">
        <f t="shared" si="25"/>
        <v>0</v>
      </c>
      <c r="AN9" s="103">
        <f t="shared" si="15"/>
        <v>0</v>
      </c>
      <c r="AO9" s="67">
        <f t="shared" si="26"/>
        <v>0</v>
      </c>
      <c r="AP9" s="67">
        <f t="shared" si="16"/>
        <v>0</v>
      </c>
      <c r="AQ9" s="67">
        <f t="shared" si="27"/>
        <v>0</v>
      </c>
      <c r="AR9" s="67">
        <f t="shared" si="28"/>
        <v>0</v>
      </c>
      <c r="AS9" s="103">
        <f t="shared" si="17"/>
        <v>0</v>
      </c>
      <c r="AT9" s="67">
        <f t="shared" si="29"/>
        <v>0</v>
      </c>
      <c r="AU9" s="67">
        <f t="shared" si="18"/>
        <v>0</v>
      </c>
      <c r="AV9" s="67">
        <f t="shared" si="30"/>
        <v>0</v>
      </c>
      <c r="AW9" s="67">
        <f t="shared" si="31"/>
        <v>0</v>
      </c>
      <c r="AX9" s="67">
        <f t="shared" si="19"/>
        <v>0</v>
      </c>
      <c r="AY9" s="67">
        <f t="shared" si="32"/>
        <v>0</v>
      </c>
      <c r="AZ9" s="67">
        <f t="shared" si="33"/>
        <v>0</v>
      </c>
      <c r="BA9" s="1"/>
    </row>
    <row r="10" spans="1:54" ht="14.25" customHeight="1" x14ac:dyDescent="0.15">
      <c r="A10" s="5" t="s">
        <v>9</v>
      </c>
      <c r="B10" s="152"/>
      <c r="C10" s="153"/>
      <c r="D10" s="12"/>
      <c r="E10" s="20" t="s">
        <v>19</v>
      </c>
      <c r="F10" s="12"/>
      <c r="G10" s="20" t="s">
        <v>19</v>
      </c>
      <c r="H10" s="12"/>
      <c r="I10" s="20" t="s">
        <v>19</v>
      </c>
      <c r="J10" s="12"/>
      <c r="K10" s="29" t="s">
        <v>19</v>
      </c>
      <c r="L10" s="33"/>
      <c r="M10" s="39"/>
      <c r="P10" s="45">
        <f t="shared" si="34"/>
        <v>0</v>
      </c>
      <c r="Q10" s="48">
        <f t="shared" si="35"/>
        <v>0</v>
      </c>
      <c r="R10" s="58">
        <f t="shared" si="20"/>
        <v>0</v>
      </c>
      <c r="S10" s="62">
        <f t="shared" si="0"/>
        <v>0</v>
      </c>
      <c r="T10" s="48">
        <f t="shared" si="1"/>
        <v>0</v>
      </c>
      <c r="U10" s="58">
        <f t="shared" si="21"/>
        <v>0</v>
      </c>
      <c r="V10" s="62">
        <f t="shared" si="2"/>
        <v>0</v>
      </c>
      <c r="W10" s="45">
        <f t="shared" si="3"/>
        <v>0</v>
      </c>
      <c r="X10" s="48">
        <f t="shared" si="22"/>
        <v>0</v>
      </c>
      <c r="Y10" s="58">
        <f t="shared" si="4"/>
        <v>0</v>
      </c>
      <c r="Z10" s="58">
        <f t="shared" si="5"/>
        <v>0</v>
      </c>
      <c r="AA10" s="73">
        <f t="shared" si="6"/>
        <v>0</v>
      </c>
      <c r="AB10" s="62">
        <f t="shared" si="7"/>
        <v>0</v>
      </c>
      <c r="AC10" s="45">
        <f t="shared" si="8"/>
        <v>0</v>
      </c>
      <c r="AD10" s="45">
        <f t="shared" si="9"/>
        <v>0</v>
      </c>
      <c r="AE10" s="45">
        <f t="shared" si="10"/>
        <v>0</v>
      </c>
      <c r="AF10" s="45">
        <f t="shared" si="11"/>
        <v>0</v>
      </c>
      <c r="AG10" s="45">
        <f t="shared" si="12"/>
        <v>0</v>
      </c>
      <c r="AH10" s="48">
        <f t="shared" si="13"/>
        <v>0</v>
      </c>
      <c r="AI10" s="58">
        <f t="shared" si="23"/>
        <v>0</v>
      </c>
      <c r="AJ10" s="98">
        <f>IF(B10="",0,(AH10*$AB$21)+(AA10*$AB$22+$AB$23+$AB$25/$AB$14))</f>
        <v>0</v>
      </c>
      <c r="AK10" s="103">
        <f t="shared" si="14"/>
        <v>0</v>
      </c>
      <c r="AL10" s="67">
        <f t="shared" si="24"/>
        <v>0</v>
      </c>
      <c r="AM10" s="67">
        <f t="shared" si="25"/>
        <v>0</v>
      </c>
      <c r="AN10" s="103">
        <f t="shared" si="15"/>
        <v>0</v>
      </c>
      <c r="AO10" s="67">
        <f t="shared" si="26"/>
        <v>0</v>
      </c>
      <c r="AP10" s="67">
        <f t="shared" si="16"/>
        <v>0</v>
      </c>
      <c r="AQ10" s="67">
        <f t="shared" si="27"/>
        <v>0</v>
      </c>
      <c r="AR10" s="67">
        <f t="shared" si="28"/>
        <v>0</v>
      </c>
      <c r="AS10" s="103">
        <f t="shared" si="17"/>
        <v>0</v>
      </c>
      <c r="AT10" s="67">
        <f t="shared" si="29"/>
        <v>0</v>
      </c>
      <c r="AU10" s="67">
        <f t="shared" si="18"/>
        <v>0</v>
      </c>
      <c r="AV10" s="67">
        <f t="shared" si="30"/>
        <v>0</v>
      </c>
      <c r="AW10" s="67">
        <f t="shared" si="31"/>
        <v>0</v>
      </c>
      <c r="AX10" s="67">
        <f t="shared" si="19"/>
        <v>0</v>
      </c>
      <c r="AY10" s="67">
        <f t="shared" si="32"/>
        <v>0</v>
      </c>
      <c r="AZ10" s="67">
        <f t="shared" si="33"/>
        <v>0</v>
      </c>
      <c r="BA10" s="1"/>
    </row>
    <row r="11" spans="1:54" x14ac:dyDescent="0.15">
      <c r="A11" s="5" t="s">
        <v>11</v>
      </c>
      <c r="B11" s="152"/>
      <c r="C11" s="153"/>
      <c r="D11" s="12"/>
      <c r="E11" s="20" t="s">
        <v>19</v>
      </c>
      <c r="F11" s="12"/>
      <c r="G11" s="20" t="s">
        <v>19</v>
      </c>
      <c r="H11" s="12"/>
      <c r="I11" s="20" t="s">
        <v>19</v>
      </c>
      <c r="J11" s="12"/>
      <c r="K11" s="29" t="s">
        <v>19</v>
      </c>
      <c r="L11" s="33"/>
      <c r="M11" s="39"/>
      <c r="P11" s="45">
        <f t="shared" si="34"/>
        <v>0</v>
      </c>
      <c r="Q11" s="48">
        <f t="shared" si="35"/>
        <v>0</v>
      </c>
      <c r="R11" s="58">
        <f t="shared" si="20"/>
        <v>0</v>
      </c>
      <c r="S11" s="62">
        <f t="shared" si="0"/>
        <v>0</v>
      </c>
      <c r="T11" s="48">
        <f t="shared" si="1"/>
        <v>0</v>
      </c>
      <c r="U11" s="58">
        <f t="shared" si="21"/>
        <v>0</v>
      </c>
      <c r="V11" s="62">
        <f t="shared" si="2"/>
        <v>0</v>
      </c>
      <c r="W11" s="45">
        <f t="shared" si="3"/>
        <v>0</v>
      </c>
      <c r="X11" s="48">
        <f t="shared" si="22"/>
        <v>0</v>
      </c>
      <c r="Y11" s="58">
        <f t="shared" si="4"/>
        <v>0</v>
      </c>
      <c r="Z11" s="58">
        <f t="shared" si="5"/>
        <v>0</v>
      </c>
      <c r="AA11" s="73">
        <f t="shared" si="6"/>
        <v>0</v>
      </c>
      <c r="AB11" s="62">
        <f t="shared" si="7"/>
        <v>0</v>
      </c>
      <c r="AC11" s="45">
        <f t="shared" si="8"/>
        <v>0</v>
      </c>
      <c r="AD11" s="45">
        <f t="shared" si="9"/>
        <v>0</v>
      </c>
      <c r="AE11" s="45">
        <f t="shared" si="10"/>
        <v>0</v>
      </c>
      <c r="AF11" s="45">
        <f t="shared" si="11"/>
        <v>0</v>
      </c>
      <c r="AG11" s="45">
        <f t="shared" si="12"/>
        <v>0</v>
      </c>
      <c r="AH11" s="48">
        <f t="shared" si="13"/>
        <v>0</v>
      </c>
      <c r="AI11" s="58">
        <f t="shared" si="23"/>
        <v>0</v>
      </c>
      <c r="AJ11" s="98">
        <f>IF(B11="",0,(AH11*$AB$21)+(AA11*$AB$22+$AB$23+$AB$25/$AB$14))</f>
        <v>0</v>
      </c>
      <c r="AK11" s="103">
        <f t="shared" si="14"/>
        <v>0</v>
      </c>
      <c r="AL11" s="67">
        <f t="shared" si="24"/>
        <v>0</v>
      </c>
      <c r="AM11" s="67">
        <f t="shared" si="25"/>
        <v>0</v>
      </c>
      <c r="AN11" s="103">
        <f t="shared" si="15"/>
        <v>0</v>
      </c>
      <c r="AO11" s="67">
        <f t="shared" si="26"/>
        <v>0</v>
      </c>
      <c r="AP11" s="67">
        <f t="shared" si="16"/>
        <v>0</v>
      </c>
      <c r="AQ11" s="67">
        <f t="shared" si="27"/>
        <v>0</v>
      </c>
      <c r="AR11" s="67">
        <f t="shared" si="28"/>
        <v>0</v>
      </c>
      <c r="AS11" s="103">
        <f t="shared" si="17"/>
        <v>0</v>
      </c>
      <c r="AT11" s="67">
        <f t="shared" si="29"/>
        <v>0</v>
      </c>
      <c r="AU11" s="67">
        <f t="shared" si="18"/>
        <v>0</v>
      </c>
      <c r="AV11" s="67">
        <f t="shared" si="30"/>
        <v>0</v>
      </c>
      <c r="AW11" s="67">
        <f t="shared" si="31"/>
        <v>0</v>
      </c>
      <c r="AX11" s="67">
        <f t="shared" si="19"/>
        <v>0</v>
      </c>
      <c r="AY11" s="67">
        <f t="shared" si="32"/>
        <v>0</v>
      </c>
      <c r="AZ11" s="67">
        <f t="shared" si="33"/>
        <v>0</v>
      </c>
      <c r="BA11" s="1"/>
    </row>
    <row r="12" spans="1:54" x14ac:dyDescent="0.15">
      <c r="A12" s="5" t="s">
        <v>5</v>
      </c>
      <c r="B12" s="152"/>
      <c r="C12" s="153"/>
      <c r="D12" s="12"/>
      <c r="E12" s="20" t="s">
        <v>19</v>
      </c>
      <c r="F12" s="12"/>
      <c r="G12" s="20" t="s">
        <v>19</v>
      </c>
      <c r="H12" s="12"/>
      <c r="I12" s="20" t="s">
        <v>19</v>
      </c>
      <c r="J12" s="12"/>
      <c r="K12" s="29" t="s">
        <v>19</v>
      </c>
      <c r="L12" s="33"/>
      <c r="M12" s="39"/>
      <c r="P12" s="45">
        <f t="shared" si="34"/>
        <v>0</v>
      </c>
      <c r="Q12" s="48">
        <f t="shared" si="35"/>
        <v>0</v>
      </c>
      <c r="R12" s="58">
        <f t="shared" si="20"/>
        <v>0</v>
      </c>
      <c r="S12" s="62">
        <f t="shared" si="0"/>
        <v>0</v>
      </c>
      <c r="T12" s="48">
        <f t="shared" si="1"/>
        <v>0</v>
      </c>
      <c r="U12" s="58">
        <f t="shared" si="21"/>
        <v>0</v>
      </c>
      <c r="V12" s="62">
        <f t="shared" si="2"/>
        <v>0</v>
      </c>
      <c r="W12" s="45">
        <f t="shared" si="3"/>
        <v>0</v>
      </c>
      <c r="X12" s="48">
        <f t="shared" si="22"/>
        <v>0</v>
      </c>
      <c r="Y12" s="58">
        <f t="shared" si="4"/>
        <v>0</v>
      </c>
      <c r="Z12" s="58">
        <f t="shared" si="5"/>
        <v>0</v>
      </c>
      <c r="AA12" s="73">
        <f t="shared" si="6"/>
        <v>0</v>
      </c>
      <c r="AB12" s="62">
        <f t="shared" si="7"/>
        <v>0</v>
      </c>
      <c r="AC12" s="45">
        <f t="shared" si="8"/>
        <v>0</v>
      </c>
      <c r="AD12" s="45">
        <f t="shared" si="9"/>
        <v>0</v>
      </c>
      <c r="AE12" s="45">
        <f t="shared" si="10"/>
        <v>0</v>
      </c>
      <c r="AF12" s="45">
        <f t="shared" si="11"/>
        <v>0</v>
      </c>
      <c r="AG12" s="45">
        <f t="shared" si="12"/>
        <v>0</v>
      </c>
      <c r="AH12" s="48">
        <f t="shared" si="13"/>
        <v>0</v>
      </c>
      <c r="AI12" s="58">
        <f t="shared" si="23"/>
        <v>0</v>
      </c>
      <c r="AJ12" s="98">
        <f>IF(B12="",0,(AH12*$AB$21)+(AA12*$AB$22+$AB$23+$AB$25/$AB$14))</f>
        <v>0</v>
      </c>
      <c r="AK12" s="103">
        <f t="shared" si="14"/>
        <v>0</v>
      </c>
      <c r="AL12" s="67">
        <f t="shared" si="24"/>
        <v>0</v>
      </c>
      <c r="AM12" s="67">
        <f t="shared" si="25"/>
        <v>0</v>
      </c>
      <c r="AN12" s="103">
        <f t="shared" si="15"/>
        <v>0</v>
      </c>
      <c r="AO12" s="67">
        <f t="shared" si="26"/>
        <v>0</v>
      </c>
      <c r="AP12" s="67">
        <f t="shared" si="16"/>
        <v>0</v>
      </c>
      <c r="AQ12" s="67">
        <f t="shared" si="27"/>
        <v>0</v>
      </c>
      <c r="AR12" s="67">
        <f t="shared" si="28"/>
        <v>0</v>
      </c>
      <c r="AS12" s="103">
        <f t="shared" si="17"/>
        <v>0</v>
      </c>
      <c r="AT12" s="67">
        <f t="shared" si="29"/>
        <v>0</v>
      </c>
      <c r="AU12" s="67">
        <f t="shared" si="18"/>
        <v>0</v>
      </c>
      <c r="AV12" s="67">
        <f t="shared" si="30"/>
        <v>0</v>
      </c>
      <c r="AW12" s="67">
        <f t="shared" si="31"/>
        <v>0</v>
      </c>
      <c r="AX12" s="67">
        <f t="shared" si="19"/>
        <v>0</v>
      </c>
      <c r="AY12" s="67">
        <f t="shared" si="32"/>
        <v>0</v>
      </c>
      <c r="AZ12" s="67">
        <f t="shared" si="33"/>
        <v>0</v>
      </c>
      <c r="BA12" s="1"/>
    </row>
    <row r="13" spans="1:54" x14ac:dyDescent="0.15">
      <c r="A13" s="5" t="s">
        <v>15</v>
      </c>
      <c r="B13" s="154"/>
      <c r="C13" s="155"/>
      <c r="D13" s="13"/>
      <c r="E13" s="21" t="s">
        <v>19</v>
      </c>
      <c r="F13" s="13"/>
      <c r="G13" s="21" t="s">
        <v>19</v>
      </c>
      <c r="H13" s="13"/>
      <c r="I13" s="21" t="s">
        <v>19</v>
      </c>
      <c r="J13" s="13"/>
      <c r="K13" s="30" t="s">
        <v>19</v>
      </c>
      <c r="L13" s="33"/>
      <c r="M13" s="39"/>
      <c r="P13" s="45">
        <f t="shared" si="34"/>
        <v>0</v>
      </c>
      <c r="Q13" s="48">
        <f t="shared" si="35"/>
        <v>0</v>
      </c>
      <c r="R13" s="58">
        <f t="shared" si="20"/>
        <v>0</v>
      </c>
      <c r="S13" s="62">
        <f t="shared" si="0"/>
        <v>0</v>
      </c>
      <c r="T13" s="48">
        <f t="shared" si="1"/>
        <v>0</v>
      </c>
      <c r="U13" s="58">
        <f t="shared" si="21"/>
        <v>0</v>
      </c>
      <c r="V13" s="62">
        <f t="shared" si="2"/>
        <v>0</v>
      </c>
      <c r="W13" s="45">
        <f t="shared" si="3"/>
        <v>0</v>
      </c>
      <c r="X13" s="48">
        <f t="shared" si="22"/>
        <v>0</v>
      </c>
      <c r="Y13" s="58">
        <f t="shared" si="4"/>
        <v>0</v>
      </c>
      <c r="Z13" s="58">
        <f t="shared" si="5"/>
        <v>0</v>
      </c>
      <c r="AA13" s="73">
        <f t="shared" si="6"/>
        <v>0</v>
      </c>
      <c r="AB13" s="62">
        <f t="shared" si="7"/>
        <v>0</v>
      </c>
      <c r="AC13" s="45">
        <f t="shared" si="8"/>
        <v>0</v>
      </c>
      <c r="AD13" s="45">
        <f t="shared" si="9"/>
        <v>0</v>
      </c>
      <c r="AE13" s="45">
        <f t="shared" si="10"/>
        <v>0</v>
      </c>
      <c r="AF13" s="45">
        <f t="shared" si="11"/>
        <v>0</v>
      </c>
      <c r="AG13" s="45">
        <f t="shared" si="12"/>
        <v>0</v>
      </c>
      <c r="AH13" s="48">
        <f t="shared" si="13"/>
        <v>0</v>
      </c>
      <c r="AI13" s="58">
        <f t="shared" si="23"/>
        <v>0</v>
      </c>
      <c r="AJ13" s="98">
        <f>IF(B13="",0,(AH13*$AB$21)+(AA13*$AB$22+$AB$23+$AB$25/$AB$14))</f>
        <v>0</v>
      </c>
      <c r="AK13" s="103">
        <f t="shared" si="14"/>
        <v>0</v>
      </c>
      <c r="AL13" s="67">
        <f t="shared" si="24"/>
        <v>0</v>
      </c>
      <c r="AM13" s="67">
        <f t="shared" si="25"/>
        <v>0</v>
      </c>
      <c r="AN13" s="103">
        <f t="shared" si="15"/>
        <v>0</v>
      </c>
      <c r="AO13" s="67">
        <f t="shared" si="26"/>
        <v>0</v>
      </c>
      <c r="AP13" s="67">
        <f t="shared" si="16"/>
        <v>0</v>
      </c>
      <c r="AQ13" s="67">
        <f t="shared" si="27"/>
        <v>0</v>
      </c>
      <c r="AR13" s="67">
        <f t="shared" si="28"/>
        <v>0</v>
      </c>
      <c r="AS13" s="103">
        <f t="shared" si="17"/>
        <v>0</v>
      </c>
      <c r="AT13" s="67">
        <f t="shared" si="29"/>
        <v>0</v>
      </c>
      <c r="AU13" s="67">
        <f t="shared" si="18"/>
        <v>0</v>
      </c>
      <c r="AV13" s="67">
        <f t="shared" si="30"/>
        <v>0</v>
      </c>
      <c r="AW13" s="67">
        <f t="shared" si="31"/>
        <v>0</v>
      </c>
      <c r="AX13" s="67">
        <f t="shared" si="19"/>
        <v>0</v>
      </c>
      <c r="AY13" s="67">
        <f t="shared" si="32"/>
        <v>0</v>
      </c>
      <c r="AZ13" s="67">
        <f t="shared" si="33"/>
        <v>0</v>
      </c>
      <c r="BA13" s="1"/>
    </row>
    <row r="14" spans="1:54" ht="18" customHeight="1" x14ac:dyDescent="0.15">
      <c r="A14" s="3" t="s">
        <v>90</v>
      </c>
      <c r="B14" s="3"/>
      <c r="C14" s="3"/>
      <c r="D14" s="3"/>
      <c r="E14" s="3"/>
      <c r="F14" s="3"/>
      <c r="G14" s="3"/>
      <c r="H14" s="3"/>
      <c r="I14" s="156"/>
      <c r="J14" s="156"/>
      <c r="K14" s="156"/>
      <c r="L14" s="156"/>
      <c r="M14" s="156"/>
      <c r="O14" s="42" t="s">
        <v>42</v>
      </c>
      <c r="P14" s="44"/>
      <c r="Q14" s="44"/>
      <c r="R14" s="59">
        <f>SUM(R7:R13)</f>
        <v>0</v>
      </c>
      <c r="S14" s="44"/>
      <c r="T14" s="44"/>
      <c r="U14" s="59">
        <f>SUM(U7:U13)</f>
        <v>0</v>
      </c>
      <c r="V14" s="68">
        <f>SUM(V7:V13)</f>
        <v>0</v>
      </c>
      <c r="W14" s="64"/>
      <c r="X14" s="44"/>
      <c r="Y14" s="71">
        <f>SUM(Y7:Y13)</f>
        <v>0</v>
      </c>
      <c r="Z14" s="59">
        <f>SUM(Z7:Z13)</f>
        <v>0</v>
      </c>
      <c r="AA14" s="74">
        <f>IF(OR(B7="加入なし(64歳以下)",B7="加入なし(65歳以上)",B7=""),SUM(AA8:AA13),SUM(AA7:AA13))</f>
        <v>0</v>
      </c>
      <c r="AB14" s="76">
        <f t="shared" ref="AB14:AH14" si="36">AB7+AB8+AB9+AB10+AB11+AB12+AB13</f>
        <v>0</v>
      </c>
      <c r="AC14" s="82">
        <f t="shared" si="36"/>
        <v>0</v>
      </c>
      <c r="AD14" s="82">
        <f t="shared" si="36"/>
        <v>0</v>
      </c>
      <c r="AE14" s="85">
        <f t="shared" si="36"/>
        <v>0</v>
      </c>
      <c r="AF14" s="86">
        <f t="shared" si="36"/>
        <v>0</v>
      </c>
      <c r="AG14" s="68">
        <f t="shared" si="36"/>
        <v>0</v>
      </c>
      <c r="AH14" s="91">
        <f t="shared" si="36"/>
        <v>0</v>
      </c>
      <c r="AI14" s="96">
        <f t="shared" ref="AI14:AZ14" si="37">SUM(AI7:AI13)</f>
        <v>0</v>
      </c>
      <c r="AJ14" s="98">
        <f t="shared" si="37"/>
        <v>0</v>
      </c>
      <c r="AK14" s="67">
        <f t="shared" si="37"/>
        <v>0</v>
      </c>
      <c r="AL14" s="67">
        <f t="shared" si="37"/>
        <v>0</v>
      </c>
      <c r="AM14" s="67">
        <f t="shared" si="37"/>
        <v>0</v>
      </c>
      <c r="AN14" s="67">
        <f t="shared" si="37"/>
        <v>0</v>
      </c>
      <c r="AO14" s="67">
        <f t="shared" si="37"/>
        <v>0</v>
      </c>
      <c r="AP14" s="67">
        <f t="shared" si="37"/>
        <v>0</v>
      </c>
      <c r="AQ14" s="67">
        <f t="shared" si="37"/>
        <v>0</v>
      </c>
      <c r="AR14" s="67">
        <f t="shared" si="37"/>
        <v>0</v>
      </c>
      <c r="AS14" s="67">
        <f t="shared" si="37"/>
        <v>0</v>
      </c>
      <c r="AT14" s="67">
        <f t="shared" si="37"/>
        <v>0</v>
      </c>
      <c r="AU14" s="67">
        <f t="shared" si="37"/>
        <v>0</v>
      </c>
      <c r="AV14" s="67">
        <f t="shared" si="37"/>
        <v>0</v>
      </c>
      <c r="AW14" s="67">
        <f t="shared" si="37"/>
        <v>0</v>
      </c>
      <c r="AX14" s="67">
        <f t="shared" si="37"/>
        <v>0</v>
      </c>
      <c r="AY14" s="67">
        <f t="shared" si="37"/>
        <v>0</v>
      </c>
      <c r="AZ14" s="67">
        <f t="shared" si="37"/>
        <v>0</v>
      </c>
      <c r="BA14" s="1"/>
    </row>
    <row r="15" spans="1:54" ht="27" customHeight="1" x14ac:dyDescent="0.15">
      <c r="A15" s="157" t="str">
        <f>IF(B7="","",AH27)</f>
        <v/>
      </c>
      <c r="B15" s="158"/>
      <c r="C15" s="10" t="s">
        <v>19</v>
      </c>
      <c r="E15" s="159" t="s">
        <v>91</v>
      </c>
      <c r="F15" s="159"/>
      <c r="G15" s="160" t="str">
        <f>IF(B7="","",A15/12)</f>
        <v/>
      </c>
      <c r="H15" s="160"/>
      <c r="I15" s="26" t="s">
        <v>19</v>
      </c>
      <c r="J15" s="161" t="s">
        <v>92</v>
      </c>
      <c r="K15" s="162"/>
      <c r="L15" s="34" t="str">
        <f>IF(AB17=0,"",IF($AI$14&lt;=$Q$19,"7割軽減",IF(AND($AI$14&gt;$Q$19,$AI$14&lt;=$R$19),"5割軽減",IF(AND($AI$14&gt;$R$19,$AI$14&lt;=$S$19),"2割軽減","なし"))))</f>
        <v/>
      </c>
      <c r="M15" s="40"/>
      <c r="P15" s="42"/>
      <c r="Q15" s="49"/>
      <c r="R15" s="49"/>
      <c r="S15" s="42"/>
      <c r="T15" s="49"/>
      <c r="U15" s="49"/>
      <c r="V15" s="49"/>
      <c r="W15" s="49"/>
      <c r="X15" s="44"/>
      <c r="Y15" s="3"/>
      <c r="Z15" s="46"/>
      <c r="AA15" s="46" t="s">
        <v>54</v>
      </c>
      <c r="AB15" s="42">
        <f>IF(B7="加入なし(65歳以上)",1,0)</f>
        <v>0</v>
      </c>
      <c r="AC15" s="44"/>
      <c r="AD15" s="44"/>
      <c r="AE15" s="44"/>
      <c r="AF15" s="44"/>
      <c r="AG15" s="44"/>
      <c r="AH15" s="44"/>
      <c r="AI15" s="1"/>
      <c r="AJ15" s="99">
        <f>AB26</f>
        <v>660000</v>
      </c>
      <c r="AK15" s="104">
        <f>AJ14-AK14</f>
        <v>0</v>
      </c>
      <c r="AL15" s="99" t="str">
        <f>IF(AL14=AB26,"OK",IF(AL14=SUM(AH20:AH24),"OK","ERROR"))</f>
        <v>OK</v>
      </c>
      <c r="AM15" s="99">
        <f>AC26</f>
        <v>260000</v>
      </c>
      <c r="AN15" s="104">
        <f>AM14-AN14</f>
        <v>0</v>
      </c>
      <c r="AO15" s="99" t="str">
        <f>IF(AO14=AC26,"OK",IF(AO14=SUM(AI20,AI22),"OK","ERROR"))</f>
        <v>OK</v>
      </c>
      <c r="AP15" s="99">
        <f>AD26</f>
        <v>170000</v>
      </c>
      <c r="AQ15" s="99" t="str">
        <f>IF(AQ14=AD26,"OK",IF(AQ14=SUM(AJ20,AJ22),"OK","ERROR"))</f>
        <v>OK</v>
      </c>
      <c r="AR15" s="99">
        <f>AE26</f>
        <v>30000</v>
      </c>
      <c r="AS15" s="109">
        <f>AR14-SUM(AS14:AS14)</f>
        <v>0</v>
      </c>
      <c r="AT15" s="99" t="str">
        <f>IF(AT14=AE26,"OK",IF(AT14=SUM(AK20,AK22,AK23),"OK","ERROR"))</f>
        <v>OK</v>
      </c>
      <c r="AU15" s="99"/>
      <c r="AV15" s="99" t="str">
        <f>IF(AV14=AH25,"OK","ERROR")</f>
        <v>OK</v>
      </c>
      <c r="AW15" s="99" t="str">
        <f>IF(AW14=AI25,"OK","ERROR")</f>
        <v>OK</v>
      </c>
      <c r="AX15" s="99" t="str">
        <f>IF(AX14=AJ25,"OK","ERROR")</f>
        <v>OK</v>
      </c>
      <c r="AY15" s="99" t="str">
        <f>IF(AY14=AK25,"OK","ERROR")</f>
        <v>OK</v>
      </c>
      <c r="AZ15" s="3"/>
      <c r="BA15" s="3"/>
    </row>
    <row r="16" spans="1:54" ht="9" customHeight="1" x14ac:dyDescent="0.15">
      <c r="P16" s="44"/>
      <c r="Q16" s="44"/>
      <c r="R16" s="60">
        <v>310000</v>
      </c>
      <c r="S16" s="60">
        <v>570000</v>
      </c>
      <c r="T16" s="44"/>
      <c r="U16" s="44"/>
      <c r="V16" s="44"/>
      <c r="W16" s="44"/>
      <c r="X16" s="44"/>
      <c r="Z16" s="46"/>
      <c r="AA16" s="46" t="s">
        <v>55</v>
      </c>
      <c r="AB16" s="42">
        <f>IF(B7="加入なし(６４歳以下)",1,0)</f>
        <v>0</v>
      </c>
      <c r="AC16" s="44"/>
      <c r="AD16" s="44"/>
      <c r="AE16" s="44"/>
      <c r="AF16" s="180" t="s">
        <v>79</v>
      </c>
      <c r="AG16" s="181"/>
      <c r="AH16" s="92">
        <f>IF(OR(B7="加入なし(64歳以下)",B7="加入なし(65歳以上)",B7=""),SUM(AH8:AH13),SUM(AH7:AH13))</f>
        <v>0</v>
      </c>
      <c r="BB16" s="3"/>
    </row>
    <row r="17" spans="1:54" s="3" customFormat="1" ht="30" customHeight="1" x14ac:dyDescent="0.15">
      <c r="A17" s="6" t="s">
        <v>8</v>
      </c>
      <c r="B17" s="163" t="s">
        <v>43</v>
      </c>
      <c r="C17" s="164"/>
      <c r="D17" s="165" t="s">
        <v>34</v>
      </c>
      <c r="E17" s="165"/>
      <c r="F17" s="165" t="s">
        <v>37</v>
      </c>
      <c r="G17" s="165"/>
      <c r="H17" s="165" t="s">
        <v>67</v>
      </c>
      <c r="I17" s="165"/>
      <c r="J17" s="166" t="s">
        <v>106</v>
      </c>
      <c r="K17" s="166"/>
      <c r="M17" s="36"/>
      <c r="O17" s="1"/>
      <c r="P17" s="44"/>
      <c r="Q17" s="179" t="s">
        <v>18</v>
      </c>
      <c r="R17" s="179" t="s">
        <v>51</v>
      </c>
      <c r="S17" s="179" t="s">
        <v>56</v>
      </c>
      <c r="T17" s="63"/>
      <c r="U17" s="179" t="s">
        <v>71</v>
      </c>
      <c r="V17" s="179"/>
      <c r="W17" s="64"/>
      <c r="X17" s="182" t="s">
        <v>100</v>
      </c>
      <c r="Y17" s="182"/>
      <c r="Z17" s="72"/>
      <c r="AA17" s="72" t="s">
        <v>30</v>
      </c>
      <c r="AB17" s="77">
        <f>AB14+AB15+AB16</f>
        <v>0</v>
      </c>
      <c r="AC17" s="44"/>
      <c r="AD17" s="44"/>
      <c r="AE17" s="44"/>
      <c r="AF17" s="44"/>
      <c r="AG17" s="44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2"/>
      <c r="AZ17" s="1"/>
      <c r="BA17" s="1"/>
      <c r="BB17" s="1"/>
    </row>
    <row r="18" spans="1:54" ht="16.5" customHeight="1" x14ac:dyDescent="0.15">
      <c r="B18" s="167" t="s">
        <v>38</v>
      </c>
      <c r="C18" s="164"/>
      <c r="D18" s="14" t="str">
        <f>IF(B7="","",AH20)</f>
        <v/>
      </c>
      <c r="E18" s="22" t="s">
        <v>19</v>
      </c>
      <c r="F18" s="14" t="str">
        <f>IF(B7="","",AI20)</f>
        <v/>
      </c>
      <c r="G18" s="22" t="s">
        <v>19</v>
      </c>
      <c r="H18" s="14" t="str">
        <f>IF(B7="","",AJ20)</f>
        <v/>
      </c>
      <c r="I18" s="22" t="s">
        <v>19</v>
      </c>
      <c r="J18" s="14" t="str">
        <f>IF(B7="","",AK20)</f>
        <v/>
      </c>
      <c r="K18" s="22" t="s">
        <v>19</v>
      </c>
      <c r="L18" s="36"/>
      <c r="M18" s="36"/>
      <c r="P18" s="44"/>
      <c r="Q18" s="170"/>
      <c r="R18" s="170"/>
      <c r="S18" s="170"/>
      <c r="T18" s="64"/>
      <c r="U18" s="50" t="s">
        <v>73</v>
      </c>
      <c r="V18" s="50" t="s">
        <v>74</v>
      </c>
      <c r="W18" s="44"/>
      <c r="X18" s="70" t="s">
        <v>13</v>
      </c>
      <c r="Y18" s="70" t="s">
        <v>32</v>
      </c>
      <c r="Z18" s="44"/>
      <c r="AA18" s="44"/>
      <c r="AB18" s="44"/>
      <c r="AC18" s="44"/>
      <c r="AD18" s="44"/>
      <c r="AE18" s="44"/>
      <c r="AF18" s="44"/>
    </row>
    <row r="19" spans="1:54" ht="16.5" customHeight="1" x14ac:dyDescent="0.15">
      <c r="B19" s="167" t="s">
        <v>39</v>
      </c>
      <c r="C19" s="164"/>
      <c r="D19" s="14" t="str">
        <f>IF(B7="","",AH21)</f>
        <v/>
      </c>
      <c r="E19" s="22" t="s">
        <v>19</v>
      </c>
      <c r="F19" s="15"/>
      <c r="G19" s="22" t="s">
        <v>19</v>
      </c>
      <c r="H19" s="15"/>
      <c r="I19" s="22" t="s">
        <v>19</v>
      </c>
      <c r="J19" s="15"/>
      <c r="K19" s="22" t="s">
        <v>19</v>
      </c>
      <c r="L19" s="35"/>
      <c r="M19" s="41"/>
      <c r="P19" s="44"/>
      <c r="Q19" s="45">
        <f>430000+100000*(IF(V14=0,1,V14)-1)</f>
        <v>430000</v>
      </c>
      <c r="R19" s="45">
        <f>AB14*R16+430000+100000*(IF(V14=0,1,V14)-1)</f>
        <v>430000</v>
      </c>
      <c r="S19" s="45">
        <f>AB14*S16+430000+100000*(IF(V14=0,1,V14)-1)</f>
        <v>430000</v>
      </c>
      <c r="T19" s="65"/>
      <c r="U19" s="67">
        <f>AB23/2*AC14</f>
        <v>0</v>
      </c>
      <c r="V19" s="67">
        <f>AC23/2*AC14</f>
        <v>0</v>
      </c>
      <c r="W19" s="44"/>
      <c r="X19" s="67">
        <f>AC14*AE23</f>
        <v>0</v>
      </c>
      <c r="Y19" s="67">
        <f>AD14*AE23</f>
        <v>0</v>
      </c>
      <c r="Z19" s="44"/>
      <c r="AA19" s="170" t="s">
        <v>78</v>
      </c>
      <c r="AB19" s="168" t="s">
        <v>75</v>
      </c>
      <c r="AC19" s="169"/>
      <c r="AD19" s="169"/>
      <c r="AE19" s="169"/>
      <c r="AF19" s="44"/>
      <c r="AG19" s="87" t="s">
        <v>43</v>
      </c>
      <c r="AH19" s="50" t="s">
        <v>34</v>
      </c>
      <c r="AI19" s="50" t="s">
        <v>37</v>
      </c>
      <c r="AJ19" s="50" t="s">
        <v>85</v>
      </c>
      <c r="AK19" s="105" t="s">
        <v>99</v>
      </c>
    </row>
    <row r="20" spans="1:54" ht="16.5" customHeight="1" x14ac:dyDescent="0.15">
      <c r="B20" s="167" t="s">
        <v>41</v>
      </c>
      <c r="C20" s="164"/>
      <c r="D20" s="14" t="str">
        <f>IF(B7="","",AH22)</f>
        <v/>
      </c>
      <c r="E20" s="22" t="s">
        <v>19</v>
      </c>
      <c r="F20" s="14" t="str">
        <f>IF(B7="","",AI22)</f>
        <v/>
      </c>
      <c r="G20" s="22" t="s">
        <v>19</v>
      </c>
      <c r="H20" s="14" t="str">
        <f>IF(B7="","",AJ22)</f>
        <v/>
      </c>
      <c r="I20" s="22" t="s">
        <v>19</v>
      </c>
      <c r="J20" s="14" t="str">
        <f>IF(B7="","",AK22)</f>
        <v/>
      </c>
      <c r="K20" s="22" t="s">
        <v>19</v>
      </c>
      <c r="L20" s="37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170"/>
      <c r="AB20" s="51" t="s">
        <v>73</v>
      </c>
      <c r="AC20" s="50" t="s">
        <v>76</v>
      </c>
      <c r="AD20" s="51" t="s">
        <v>62</v>
      </c>
      <c r="AE20" s="50" t="s">
        <v>96</v>
      </c>
      <c r="AF20" s="44"/>
      <c r="AG20" s="88" t="s">
        <v>38</v>
      </c>
      <c r="AH20" s="93">
        <f>(AH16*AB21)</f>
        <v>0</v>
      </c>
      <c r="AI20" s="93">
        <f>(AH16*AC21)</f>
        <v>0</v>
      </c>
      <c r="AJ20" s="67">
        <f>(AF14*AD21)</f>
        <v>0</v>
      </c>
      <c r="AK20" s="67">
        <f>(AH16*AE21)</f>
        <v>0</v>
      </c>
    </row>
    <row r="21" spans="1:54" ht="16.5" customHeight="1" x14ac:dyDescent="0.15">
      <c r="B21" s="167" t="s">
        <v>97</v>
      </c>
      <c r="C21" s="164"/>
      <c r="D21" s="15"/>
      <c r="E21" s="22" t="s">
        <v>19</v>
      </c>
      <c r="F21" s="15"/>
      <c r="G21" s="22" t="s">
        <v>19</v>
      </c>
      <c r="H21" s="15"/>
      <c r="I21" s="22" t="s">
        <v>19</v>
      </c>
      <c r="J21" s="14" t="str">
        <f>IF(B7="","",AK23)</f>
        <v/>
      </c>
      <c r="K21" s="22" t="s">
        <v>19</v>
      </c>
      <c r="P21" s="44"/>
      <c r="Q21" s="52" t="s">
        <v>17</v>
      </c>
      <c r="R21" s="52" t="s">
        <v>58</v>
      </c>
      <c r="S21" s="52" t="s">
        <v>35</v>
      </c>
      <c r="T21" s="52" t="s">
        <v>59</v>
      </c>
      <c r="U21" s="52" t="s">
        <v>60</v>
      </c>
      <c r="V21" s="52" t="s">
        <v>61</v>
      </c>
      <c r="W21" s="52" t="s">
        <v>63</v>
      </c>
      <c r="X21" s="52" t="s">
        <v>64</v>
      </c>
      <c r="Y21" s="44"/>
      <c r="Z21" s="44"/>
      <c r="AA21" s="51" t="s">
        <v>38</v>
      </c>
      <c r="AB21" s="78">
        <v>7.5999999999999998E-2</v>
      </c>
      <c r="AC21" s="78">
        <v>2.5999999999999999E-2</v>
      </c>
      <c r="AD21" s="78">
        <v>2.1999999999999999E-2</v>
      </c>
      <c r="AE21" s="78">
        <v>3.0000000000000001E-3</v>
      </c>
      <c r="AF21" s="44"/>
      <c r="AG21" s="88" t="s">
        <v>39</v>
      </c>
      <c r="AH21" s="93">
        <f>(AA14*AB22)</f>
        <v>0</v>
      </c>
      <c r="AI21" s="83"/>
      <c r="AJ21" s="83"/>
      <c r="AK21" s="83"/>
    </row>
    <row r="22" spans="1:54" ht="16.5" customHeight="1" x14ac:dyDescent="0.15">
      <c r="B22" s="167" t="s">
        <v>25</v>
      </c>
      <c r="C22" s="164"/>
      <c r="D22" s="14" t="str">
        <f>IF(B7="","",AH24)</f>
        <v/>
      </c>
      <c r="E22" s="22" t="s">
        <v>19</v>
      </c>
      <c r="F22" s="15"/>
      <c r="G22" s="22" t="s">
        <v>19</v>
      </c>
      <c r="H22" s="15"/>
      <c r="I22" s="22" t="s">
        <v>19</v>
      </c>
      <c r="J22" s="15"/>
      <c r="K22" s="22" t="s">
        <v>19</v>
      </c>
      <c r="O22" s="43"/>
      <c r="P22" s="46" t="s">
        <v>65</v>
      </c>
      <c r="Q22" s="53"/>
      <c r="R22" s="53"/>
      <c r="S22" s="53"/>
      <c r="T22" s="53"/>
      <c r="U22" s="53"/>
      <c r="V22" s="53"/>
      <c r="W22" s="53"/>
      <c r="X22" s="53"/>
      <c r="Y22" s="44"/>
      <c r="Z22" s="44"/>
      <c r="AA22" s="51" t="s">
        <v>39</v>
      </c>
      <c r="AB22" s="78">
        <v>0.1</v>
      </c>
      <c r="AC22" s="83"/>
      <c r="AD22" s="83"/>
      <c r="AE22" s="83"/>
      <c r="AF22" s="44"/>
      <c r="AG22" s="88" t="s">
        <v>41</v>
      </c>
      <c r="AH22" s="93">
        <f>(AB23*AB14)</f>
        <v>0</v>
      </c>
      <c r="AI22" s="93">
        <f>(AC23*AB14)</f>
        <v>0</v>
      </c>
      <c r="AJ22" s="67">
        <f>(AD23*AE14)</f>
        <v>0</v>
      </c>
      <c r="AK22" s="67">
        <f>AB14*AE23</f>
        <v>0</v>
      </c>
    </row>
    <row r="23" spans="1:54" ht="16.5" customHeight="1" x14ac:dyDescent="0.15">
      <c r="B23" s="171" t="s">
        <v>44</v>
      </c>
      <c r="C23" s="172"/>
      <c r="D23" s="16" t="str">
        <f>IF(B7="","",AH25)</f>
        <v/>
      </c>
      <c r="E23" s="23" t="s">
        <v>19</v>
      </c>
      <c r="F23" s="16" t="str">
        <f>IF(B7="","",AI25)</f>
        <v/>
      </c>
      <c r="G23" s="23" t="s">
        <v>19</v>
      </c>
      <c r="H23" s="16" t="str">
        <f>IF(B7="","",AJ25)</f>
        <v/>
      </c>
      <c r="I23" s="23" t="s">
        <v>19</v>
      </c>
      <c r="J23" s="16" t="str">
        <f>IF(B7="","",AK25)</f>
        <v/>
      </c>
      <c r="K23" s="23" t="s">
        <v>19</v>
      </c>
      <c r="P23" s="47"/>
      <c r="Q23" s="54"/>
      <c r="R23" s="61"/>
      <c r="S23" s="61"/>
      <c r="T23" s="61"/>
      <c r="U23" s="61"/>
      <c r="V23" s="61"/>
      <c r="W23" s="61"/>
      <c r="X23" s="61"/>
      <c r="Y23" s="47"/>
      <c r="Z23" s="47"/>
      <c r="AA23" s="75" t="s">
        <v>41</v>
      </c>
      <c r="AB23" s="79">
        <v>34000</v>
      </c>
      <c r="AC23" s="79">
        <v>14000</v>
      </c>
      <c r="AD23" s="79">
        <v>14000</v>
      </c>
      <c r="AE23" s="79">
        <v>1800</v>
      </c>
      <c r="AF23" s="44"/>
      <c r="AG23" s="88" t="s">
        <v>97</v>
      </c>
      <c r="AH23" s="83"/>
      <c r="AI23" s="83"/>
      <c r="AJ23" s="83"/>
      <c r="AK23" s="67">
        <f>(AB14-AC14-AD14)*AE24</f>
        <v>0</v>
      </c>
    </row>
    <row r="24" spans="1:54" ht="16.5" customHeight="1" x14ac:dyDescent="0.15">
      <c r="B24" s="173" t="s">
        <v>42</v>
      </c>
      <c r="C24" s="174"/>
      <c r="D24" s="17" t="str">
        <f>IF(B7="","",AH26)</f>
        <v/>
      </c>
      <c r="E24" s="24" t="s">
        <v>19</v>
      </c>
      <c r="F24" s="17" t="str">
        <f>IF(B7="","",AI26)</f>
        <v/>
      </c>
      <c r="G24" s="24" t="s">
        <v>19</v>
      </c>
      <c r="H24" s="17" t="str">
        <f>IF(B7="","",AJ26)</f>
        <v/>
      </c>
      <c r="I24" s="24" t="s">
        <v>19</v>
      </c>
      <c r="J24" s="17" t="str">
        <f>IF(B7="","",AK26)</f>
        <v/>
      </c>
      <c r="K24" s="24" t="s">
        <v>19</v>
      </c>
      <c r="P24" s="47"/>
      <c r="Q24" s="54"/>
      <c r="R24" s="61"/>
      <c r="S24" s="61"/>
      <c r="T24" s="61"/>
      <c r="U24" s="61"/>
      <c r="V24" s="61"/>
      <c r="W24" s="61"/>
      <c r="X24" s="61"/>
      <c r="Y24" s="44"/>
      <c r="Z24" s="47"/>
      <c r="AA24" s="75" t="s">
        <v>97</v>
      </c>
      <c r="AB24" s="80"/>
      <c r="AC24" s="80"/>
      <c r="AD24" s="80"/>
      <c r="AE24" s="79">
        <v>100</v>
      </c>
      <c r="AF24" s="44"/>
      <c r="AG24" s="88" t="s">
        <v>25</v>
      </c>
      <c r="AH24" s="93">
        <f>(IF(B7="",0,AB25))</f>
        <v>0</v>
      </c>
      <c r="AI24" s="83"/>
      <c r="AJ24" s="83"/>
      <c r="AK24" s="83"/>
    </row>
    <row r="25" spans="1:54" x14ac:dyDescent="0.15">
      <c r="B25" s="175" t="s">
        <v>82</v>
      </c>
      <c r="C25" s="175"/>
      <c r="D25" s="18">
        <f>AB26</f>
        <v>660000</v>
      </c>
      <c r="E25" s="25" t="s">
        <v>19</v>
      </c>
      <c r="F25" s="18">
        <f>AC26</f>
        <v>260000</v>
      </c>
      <c r="G25" s="25" t="s">
        <v>19</v>
      </c>
      <c r="H25" s="18">
        <f>AD26</f>
        <v>170000</v>
      </c>
      <c r="I25" s="25" t="s">
        <v>19</v>
      </c>
      <c r="J25" s="27">
        <f>AE26</f>
        <v>30000</v>
      </c>
      <c r="K25" s="25" t="s">
        <v>19</v>
      </c>
      <c r="P25" s="47"/>
      <c r="Q25" s="54"/>
      <c r="R25" s="53"/>
      <c r="S25" s="53"/>
      <c r="T25" s="53"/>
      <c r="U25" s="53"/>
      <c r="V25" s="53"/>
      <c r="W25" s="53"/>
      <c r="X25" s="53"/>
      <c r="Y25" s="44"/>
      <c r="Z25" s="44"/>
      <c r="AA25" s="51" t="s">
        <v>25</v>
      </c>
      <c r="AB25" s="81">
        <v>4000</v>
      </c>
      <c r="AC25" s="84"/>
      <c r="AD25" s="84"/>
      <c r="AE25" s="84"/>
      <c r="AF25" s="44"/>
      <c r="AG25" s="89" t="s">
        <v>44</v>
      </c>
      <c r="AH25" s="94">
        <f>(IF(B7="",0,IF($AI$14&lt;=$Q$19,-((AB23*0.7)*($AB$14-$AC$14)+(AH24*0.7))-U19*0.7,IF(AND($AI$14&gt;$Q$19,$AI$14&lt;=$R$19),-((AB23*0.5)*($AB$14-$AC$14)+(AH24*0.5))-U19*0.5,IF(AND($AI$14&gt;$R$19,$AI$14&lt;=$S$19),-((AB23*0.2)*($AB$14-$AC$14)+(AH24*0.2))-U19*0.2,0)))-U19))</f>
        <v>0</v>
      </c>
      <c r="AI25" s="94">
        <f>IF(B7="",0,IF($AI$14&lt;=$Q$19,-((AC23*0.7)*($AB$14-$AC$14))-V19*0.7,IF(AND($AI$14&gt;$Q$19,$AI$14&lt;=$R$19),-((AC23*0.5)*($AB$14-$AC$14))-V19*0.5,IF(AND($AI$14&gt;$R$19,$AI$14&lt;=$S$19),-((AC23*0.2)*($AB$14-$AC$14))-V19*0.2,0)))-V19)</f>
        <v>0</v>
      </c>
      <c r="AJ25" s="100">
        <f>IF(B7="",0,IF($AI$14&lt;=$Q$19,-(AD23*0.7)*AE14,IF(AND($AI$14&gt;$Q$19,$AI$14&lt;=$R$19),-(AD23*0.5)*AE14,IF(AND($AI$14&gt;$R$19,$AI$14&lt;=$S$19),-(AD23*0.2)*AE14,0))))</f>
        <v>0</v>
      </c>
      <c r="AK25" s="106">
        <f>IF(B7="",0,IF($AI$14&lt;=$Q$19,-((SUM(AE23:AE24)*0.7)*($AB$14-$AC$14-$AD$14)),IF(AND($AI$14&gt;$Q$19,$AI$14&lt;=$R$19),-((SUM(AE23:AE24)*0.5)*($AB$14-$AC$14-$AD$14)),IF(AND($AI$14&gt;$R$19,$AI$14&lt;=$S$19),-((SUM(AE23:AE24)*0.2)*($AB$14-$AC$14-$AD$14)),0)))-X19-Y19)</f>
        <v>0</v>
      </c>
    </row>
    <row r="26" spans="1:54" x14ac:dyDescent="0.15">
      <c r="K26" s="177"/>
      <c r="L26" s="178"/>
      <c r="M26" s="178"/>
      <c r="P26" s="44"/>
      <c r="Q26" s="55"/>
      <c r="R26" s="55"/>
      <c r="S26" s="55"/>
      <c r="T26" s="55"/>
      <c r="U26" s="55"/>
      <c r="V26" s="55"/>
      <c r="W26" s="55"/>
      <c r="X26" s="55"/>
      <c r="Y26" s="44"/>
      <c r="Z26" s="44"/>
      <c r="AA26" s="51" t="s">
        <v>77</v>
      </c>
      <c r="AB26" s="81">
        <v>660000</v>
      </c>
      <c r="AC26" s="81">
        <v>260000</v>
      </c>
      <c r="AD26" s="81">
        <v>170000</v>
      </c>
      <c r="AE26" s="81">
        <v>30000</v>
      </c>
      <c r="AF26" s="44"/>
      <c r="AG26" s="90" t="s">
        <v>42</v>
      </c>
      <c r="AH26" s="95">
        <f>MIN(ROUNDDOWN(SUM(AH20:AH25),-2),AB26)</f>
        <v>0</v>
      </c>
      <c r="AI26" s="95">
        <f>MIN(ROUNDDOWN(SUM(AI20:AI25),-2),AC26)</f>
        <v>0</v>
      </c>
      <c r="AJ26" s="101">
        <f>MIN(ROUNDDOWN(SUM(AJ20:AJ25),-2),AD26)</f>
        <v>0</v>
      </c>
      <c r="AK26" s="101">
        <f>MIN(ROUNDDOWN(SUM(AK20:AK25),-2),AE26)</f>
        <v>0</v>
      </c>
    </row>
    <row r="27" spans="1:54" x14ac:dyDescent="0.15">
      <c r="K27" s="178"/>
      <c r="L27" s="178"/>
      <c r="M27" s="178"/>
      <c r="P27" s="44"/>
      <c r="Q27" s="56" t="s">
        <v>1</v>
      </c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176">
        <f>SUM(AH26:AK26)</f>
        <v>0</v>
      </c>
      <c r="AI27" s="176"/>
      <c r="AJ27" s="176"/>
      <c r="AK27" s="176"/>
    </row>
    <row r="28" spans="1:54" x14ac:dyDescent="0.15">
      <c r="K28" s="178"/>
      <c r="L28" s="178"/>
      <c r="M28" s="178"/>
      <c r="P28" s="44"/>
      <c r="Q28" s="44" t="s">
        <v>66</v>
      </c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</row>
    <row r="29" spans="1:54" x14ac:dyDescent="0.15">
      <c r="K29" s="178"/>
      <c r="L29" s="178"/>
      <c r="M29" s="178"/>
      <c r="Z29" s="44"/>
      <c r="AA29" s="44"/>
      <c r="AB29" s="44"/>
      <c r="AC29" s="44"/>
      <c r="AD29" s="44"/>
      <c r="AE29" s="44"/>
      <c r="AF29" s="44"/>
    </row>
    <row r="30" spans="1:54" x14ac:dyDescent="0.15">
      <c r="AF30" s="44"/>
    </row>
  </sheetData>
  <sheetProtection password="BC8A" sheet="1" selectLockedCells="1"/>
  <mergeCells count="75">
    <mergeCell ref="AZ5:AZ6"/>
    <mergeCell ref="Q17:Q18"/>
    <mergeCell ref="R17:R18"/>
    <mergeCell ref="S17:S18"/>
    <mergeCell ref="AC5:AC6"/>
    <mergeCell ref="AD5:AD6"/>
    <mergeCell ref="AE5:AE6"/>
    <mergeCell ref="AF5:AF6"/>
    <mergeCell ref="AG5:AG6"/>
    <mergeCell ref="AF16:AG16"/>
    <mergeCell ref="U17:V17"/>
    <mergeCell ref="X17:Y17"/>
    <mergeCell ref="AM5:AO5"/>
    <mergeCell ref="AP5:AQ5"/>
    <mergeCell ref="AR5:AT5"/>
    <mergeCell ref="AV5:AY5"/>
    <mergeCell ref="B22:C22"/>
    <mergeCell ref="B23:C23"/>
    <mergeCell ref="B24:C24"/>
    <mergeCell ref="B25:C25"/>
    <mergeCell ref="AH27:AK27"/>
    <mergeCell ref="K26:M29"/>
    <mergeCell ref="B18:C18"/>
    <mergeCell ref="B19:C19"/>
    <mergeCell ref="AB19:AE19"/>
    <mergeCell ref="B20:C20"/>
    <mergeCell ref="B21:C21"/>
    <mergeCell ref="AA19:AA20"/>
    <mergeCell ref="B17:C17"/>
    <mergeCell ref="D17:E17"/>
    <mergeCell ref="F17:G17"/>
    <mergeCell ref="H17:I17"/>
    <mergeCell ref="J17:K17"/>
    <mergeCell ref="B13:C13"/>
    <mergeCell ref="I14:M14"/>
    <mergeCell ref="A15:B15"/>
    <mergeCell ref="E15:F15"/>
    <mergeCell ref="G15:H15"/>
    <mergeCell ref="J15:K15"/>
    <mergeCell ref="B8:C8"/>
    <mergeCell ref="B9:C9"/>
    <mergeCell ref="B10:C10"/>
    <mergeCell ref="B11:C11"/>
    <mergeCell ref="B12:C12"/>
    <mergeCell ref="B7:C7"/>
    <mergeCell ref="B5:B6"/>
    <mergeCell ref="C5:C6"/>
    <mergeCell ref="J5:J6"/>
    <mergeCell ref="K5:K6"/>
    <mergeCell ref="P5:P6"/>
    <mergeCell ref="Q5:Q6"/>
    <mergeCell ref="R5:R6"/>
    <mergeCell ref="S5:S6"/>
    <mergeCell ref="T5:T6"/>
    <mergeCell ref="U5:U6"/>
    <mergeCell ref="V5:V6"/>
    <mergeCell ref="AH5:AH6"/>
    <mergeCell ref="AI5:AI6"/>
    <mergeCell ref="AU5:AU6"/>
    <mergeCell ref="A1:B1"/>
    <mergeCell ref="A2:D2"/>
    <mergeCell ref="A3:M3"/>
    <mergeCell ref="D5:I5"/>
    <mergeCell ref="AJ5:AL5"/>
    <mergeCell ref="J1:M2"/>
    <mergeCell ref="O1:Q2"/>
    <mergeCell ref="T3:T4"/>
    <mergeCell ref="W3:W4"/>
    <mergeCell ref="A5:A6"/>
    <mergeCell ref="W5:W6"/>
    <mergeCell ref="X5:X6"/>
    <mergeCell ref="Y5:Y6"/>
    <mergeCell ref="Z5:Z6"/>
    <mergeCell ref="AA5:AA6"/>
    <mergeCell ref="AB5:AB6"/>
  </mergeCells>
  <phoneticPr fontId="1"/>
  <dataValidations count="3">
    <dataValidation type="list" allowBlank="1" showInputMessage="1" showErrorMessage="1" sqref="B8:C13">
      <formula1>"65歳以上,40歳～64歳,19歳～39歳,18歳以下,未就学児"</formula1>
    </dataValidation>
    <dataValidation imeMode="halfAlpha" allowBlank="1" showInputMessage="1" showErrorMessage="1" sqref="F7:F13 H7:H13 J7:J13 D7:D13"/>
    <dataValidation type="list" allowBlank="1" showInputMessage="1" showErrorMessage="1" sqref="B7:C7">
      <formula1>"加入なし(64歳以下),加入なし(65歳以上),65歳以上,40歳～64歳,19歳～39歳,18歳以下"</formula1>
    </dataValidation>
  </dataValidations>
  <pageMargins left="0.59055118110236227" right="0.59055118110236227" top="0.39370078740157483" bottom="0.39370078740157483" header="0.39370078740157483" footer="0.3937007874015748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簡易試算シート</vt:lpstr>
      <vt:lpstr>簡易試算シート!Print_Area</vt:lpstr>
    </vt:vector>
  </TitlesOfParts>
  <Company>朝霞市役所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　純恵</dc:creator>
  <cp:lastModifiedBy>三浦　純恵</cp:lastModifiedBy>
  <cp:lastPrinted>2026-02-09T05:12:08Z</cp:lastPrinted>
  <dcterms:created xsi:type="dcterms:W3CDTF">2024-11-25T02:20:48Z</dcterms:created>
  <dcterms:modified xsi:type="dcterms:W3CDTF">2026-03-13T05:06:24Z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2026-01-26T08:17:48Z</vt:filetime>
  </property>
</Properties>
</file>